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jpeg" ContentType="image/jpeg"/>
  <Override PartName="/xl/ctrlProps/ctrlProp1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-11" yWindow="-11" windowWidth="15332" windowHeight="4331" tabRatio="745" activeTab="2"/>
  </bookViews>
  <sheets>
    <sheet name="Fall 1" sheetId="49" r:id="rId1"/>
    <sheet name="Fall 2" sheetId="48" r:id="rId2"/>
    <sheet name="Beispiel" sheetId="47" r:id="rId3"/>
    <sheet name="Info" sheetId="29" r:id="rId4"/>
  </sheets>
  <definedNames>
    <definedName name="_xlnm.Print_Area" localSheetId="2">Beispiel!$B$1:$P$76</definedName>
    <definedName name="_xlnm.Print_Area" localSheetId="0">'Fall 1'!$B$1:$P$76</definedName>
    <definedName name="_xlnm.Print_Area" localSheetId="1">'Fall 2'!$B$1:$P$76</definedName>
    <definedName name="_xlnm.Print_Area" localSheetId="3">Info!$B$2:$P$77</definedName>
  </definedNames>
  <calcPr calcId="152511"/>
</workbook>
</file>

<file path=xl/calcChain.xml><?xml version="1.0" encoding="utf-8"?>
<calcChain xmlns="http://schemas.openxmlformats.org/spreadsheetml/2006/main">
  <c r="B82" i="49"/>
  <c r="O69"/>
  <c r="O68"/>
  <c r="N69"/>
  <c r="M69"/>
  <c r="L69"/>
  <c r="K69"/>
  <c r="J69"/>
  <c r="I69"/>
  <c r="H69"/>
  <c r="G69"/>
  <c r="G68"/>
  <c r="F69"/>
  <c r="E69"/>
  <c r="D69"/>
  <c r="C69"/>
  <c r="L68"/>
  <c r="D68"/>
  <c r="O67"/>
  <c r="N67"/>
  <c r="N68"/>
  <c r="M67"/>
  <c r="M68"/>
  <c r="L67"/>
  <c r="K67"/>
  <c r="K68"/>
  <c r="J67"/>
  <c r="J68"/>
  <c r="I67"/>
  <c r="I68"/>
  <c r="H67"/>
  <c r="H68"/>
  <c r="G67"/>
  <c r="F67"/>
  <c r="F68"/>
  <c r="E67"/>
  <c r="E68"/>
  <c r="D67"/>
  <c r="C67"/>
  <c r="C68"/>
  <c r="O66"/>
  <c r="N66"/>
  <c r="M66"/>
  <c r="L66"/>
  <c r="K66"/>
  <c r="J66"/>
  <c r="I66"/>
  <c r="H66"/>
  <c r="G66"/>
  <c r="F66"/>
  <c r="E66"/>
  <c r="D66"/>
  <c r="C66"/>
  <c r="H64"/>
  <c r="H65"/>
  <c r="E53"/>
  <c r="G50"/>
  <c r="I50"/>
  <c r="K50"/>
  <c r="E49"/>
  <c r="M64"/>
  <c r="M65"/>
  <c r="G47"/>
  <c r="I47"/>
  <c r="K47"/>
  <c r="L36"/>
  <c r="J36"/>
  <c r="N36"/>
  <c r="L35"/>
  <c r="I33"/>
  <c r="L30"/>
  <c r="L29"/>
  <c r="N28"/>
  <c r="M28"/>
  <c r="K28"/>
  <c r="N27"/>
  <c r="M27"/>
  <c r="K27"/>
  <c r="E27"/>
  <c r="N26"/>
  <c r="M26"/>
  <c r="K26"/>
  <c r="N25"/>
  <c r="M25"/>
  <c r="K25"/>
  <c r="S24"/>
  <c r="N24"/>
  <c r="M24"/>
  <c r="K24"/>
  <c r="R23"/>
  <c r="B25"/>
  <c r="N23"/>
  <c r="M23"/>
  <c r="K23"/>
  <c r="G23"/>
  <c r="N22"/>
  <c r="M22"/>
  <c r="K22"/>
  <c r="N21"/>
  <c r="M21"/>
  <c r="K21"/>
  <c r="G21"/>
  <c r="N20"/>
  <c r="M20"/>
  <c r="K20"/>
  <c r="N19"/>
  <c r="M19"/>
  <c r="K19"/>
  <c r="G19"/>
  <c r="N18"/>
  <c r="M18"/>
  <c r="K18"/>
  <c r="N17"/>
  <c r="M17"/>
  <c r="K17"/>
  <c r="G17"/>
  <c r="S16"/>
  <c r="N16"/>
  <c r="M16"/>
  <c r="K16"/>
  <c r="R15"/>
  <c r="E13"/>
  <c r="N15"/>
  <c r="M15"/>
  <c r="K15"/>
  <c r="G15"/>
  <c r="N14"/>
  <c r="M14"/>
  <c r="K14"/>
  <c r="N13"/>
  <c r="M13"/>
  <c r="K13"/>
  <c r="N12"/>
  <c r="M12"/>
  <c r="K12"/>
  <c r="N11"/>
  <c r="M11"/>
  <c r="K11"/>
  <c r="N10"/>
  <c r="M10"/>
  <c r="J10"/>
  <c r="P10"/>
  <c r="N9"/>
  <c r="M9"/>
  <c r="J9"/>
  <c r="P8"/>
  <c r="P9"/>
  <c r="O8"/>
  <c r="L8"/>
  <c r="R3"/>
  <c r="R1"/>
  <c r="B82" i="48"/>
  <c r="O69"/>
  <c r="N69"/>
  <c r="M69"/>
  <c r="L69"/>
  <c r="L68"/>
  <c r="K69"/>
  <c r="K68"/>
  <c r="J69"/>
  <c r="J68"/>
  <c r="I69"/>
  <c r="H69"/>
  <c r="G69"/>
  <c r="F69"/>
  <c r="E69"/>
  <c r="D69"/>
  <c r="D68"/>
  <c r="C69"/>
  <c r="C68"/>
  <c r="O68"/>
  <c r="I68"/>
  <c r="G68"/>
  <c r="O67"/>
  <c r="N67"/>
  <c r="N68"/>
  <c r="M67"/>
  <c r="M68"/>
  <c r="L67"/>
  <c r="K67"/>
  <c r="J67"/>
  <c r="I67"/>
  <c r="H67"/>
  <c r="H68"/>
  <c r="G67"/>
  <c r="F67"/>
  <c r="F68"/>
  <c r="E67"/>
  <c r="E68"/>
  <c r="D67"/>
  <c r="C67"/>
  <c r="O66"/>
  <c r="N66"/>
  <c r="M66"/>
  <c r="M65"/>
  <c r="L66"/>
  <c r="K66"/>
  <c r="J66"/>
  <c r="I66"/>
  <c r="H66"/>
  <c r="G66"/>
  <c r="F66"/>
  <c r="E66"/>
  <c r="E65"/>
  <c r="D66"/>
  <c r="C66"/>
  <c r="M64"/>
  <c r="E64"/>
  <c r="L61"/>
  <c r="M61"/>
  <c r="E61"/>
  <c r="F61"/>
  <c r="E53"/>
  <c r="I50"/>
  <c r="K50"/>
  <c r="G50"/>
  <c r="E49"/>
  <c r="L64"/>
  <c r="L65"/>
  <c r="I47"/>
  <c r="K47"/>
  <c r="G47"/>
  <c r="L36"/>
  <c r="J36"/>
  <c r="N36"/>
  <c r="L35"/>
  <c r="I33"/>
  <c r="O30"/>
  <c r="L30"/>
  <c r="L29"/>
  <c r="N28"/>
  <c r="M28"/>
  <c r="K28"/>
  <c r="N27"/>
  <c r="M27"/>
  <c r="K27"/>
  <c r="F27"/>
  <c r="G27"/>
  <c r="B27"/>
  <c r="N26"/>
  <c r="M26"/>
  <c r="K26"/>
  <c r="N25"/>
  <c r="M25"/>
  <c r="K25"/>
  <c r="F25"/>
  <c r="G25"/>
  <c r="B25"/>
  <c r="S24"/>
  <c r="N24"/>
  <c r="M24"/>
  <c r="K24"/>
  <c r="R23"/>
  <c r="E27"/>
  <c r="N23"/>
  <c r="M23"/>
  <c r="K23"/>
  <c r="G23"/>
  <c r="N22"/>
  <c r="M22"/>
  <c r="K22"/>
  <c r="N21"/>
  <c r="M21"/>
  <c r="K21"/>
  <c r="G21"/>
  <c r="N20"/>
  <c r="M20"/>
  <c r="K20"/>
  <c r="N19"/>
  <c r="M19"/>
  <c r="K19"/>
  <c r="G19"/>
  <c r="N18"/>
  <c r="M18"/>
  <c r="K18"/>
  <c r="N17"/>
  <c r="M17"/>
  <c r="K17"/>
  <c r="G17"/>
  <c r="S16"/>
  <c r="N16"/>
  <c r="M16"/>
  <c r="K16"/>
  <c r="R15"/>
  <c r="E11"/>
  <c r="N15"/>
  <c r="M15"/>
  <c r="K15"/>
  <c r="G15"/>
  <c r="N14"/>
  <c r="M14"/>
  <c r="K14"/>
  <c r="N13"/>
  <c r="M13"/>
  <c r="K13"/>
  <c r="G13"/>
  <c r="F13"/>
  <c r="E13"/>
  <c r="B13"/>
  <c r="N12"/>
  <c r="M12"/>
  <c r="K12"/>
  <c r="N11"/>
  <c r="M11"/>
  <c r="K11"/>
  <c r="G11"/>
  <c r="G33"/>
  <c r="F11"/>
  <c r="N10"/>
  <c r="M10"/>
  <c r="N9"/>
  <c r="M9"/>
  <c r="J9"/>
  <c r="J10"/>
  <c r="P10"/>
  <c r="P8"/>
  <c r="P9"/>
  <c r="L8"/>
  <c r="O8"/>
  <c r="R3"/>
  <c r="R1"/>
  <c r="B82" i="47"/>
  <c r="O69"/>
  <c r="N69"/>
  <c r="M69"/>
  <c r="L69"/>
  <c r="K69"/>
  <c r="J69"/>
  <c r="J68"/>
  <c r="I69"/>
  <c r="I68"/>
  <c r="H69"/>
  <c r="G69"/>
  <c r="F69"/>
  <c r="E69"/>
  <c r="D69"/>
  <c r="C69"/>
  <c r="O68"/>
  <c r="N68"/>
  <c r="G68"/>
  <c r="F68"/>
  <c r="O67"/>
  <c r="N67"/>
  <c r="M67"/>
  <c r="M68"/>
  <c r="L67"/>
  <c r="L68"/>
  <c r="K67"/>
  <c r="K68"/>
  <c r="J67"/>
  <c r="I67"/>
  <c r="H67"/>
  <c r="H68"/>
  <c r="G67"/>
  <c r="F67"/>
  <c r="E67"/>
  <c r="E68"/>
  <c r="D67"/>
  <c r="D68"/>
  <c r="C67"/>
  <c r="E53"/>
  <c r="O66"/>
  <c r="N66"/>
  <c r="M66"/>
  <c r="L66"/>
  <c r="K66"/>
  <c r="J66"/>
  <c r="I66"/>
  <c r="H66"/>
  <c r="G66"/>
  <c r="F66"/>
  <c r="E66"/>
  <c r="D66"/>
  <c r="C66"/>
  <c r="J64"/>
  <c r="J65"/>
  <c r="E61"/>
  <c r="F61"/>
  <c r="I50"/>
  <c r="K50"/>
  <c r="G50"/>
  <c r="E49"/>
  <c r="M64"/>
  <c r="M65"/>
  <c r="G47"/>
  <c r="I47"/>
  <c r="K47"/>
  <c r="L36"/>
  <c r="J36"/>
  <c r="N36"/>
  <c r="L35"/>
  <c r="I33"/>
  <c r="L30"/>
  <c r="L29"/>
  <c r="N28"/>
  <c r="M28"/>
  <c r="K28"/>
  <c r="N27"/>
  <c r="M27"/>
  <c r="K27"/>
  <c r="N26"/>
  <c r="M26"/>
  <c r="K26"/>
  <c r="N25"/>
  <c r="M25"/>
  <c r="K25"/>
  <c r="S24"/>
  <c r="N24"/>
  <c r="M24"/>
  <c r="K24"/>
  <c r="R23"/>
  <c r="B25"/>
  <c r="N23"/>
  <c r="M23"/>
  <c r="K23"/>
  <c r="G23"/>
  <c r="N22"/>
  <c r="M22"/>
  <c r="K22"/>
  <c r="N21"/>
  <c r="M21"/>
  <c r="K21"/>
  <c r="G21"/>
  <c r="N20"/>
  <c r="M20"/>
  <c r="K20"/>
  <c r="N19"/>
  <c r="M19"/>
  <c r="K19"/>
  <c r="G19"/>
  <c r="N18"/>
  <c r="M18"/>
  <c r="K18"/>
  <c r="N17"/>
  <c r="M17"/>
  <c r="K17"/>
  <c r="G17"/>
  <c r="S16"/>
  <c r="N16"/>
  <c r="M16"/>
  <c r="K16"/>
  <c r="R15"/>
  <c r="E13"/>
  <c r="N15"/>
  <c r="M15"/>
  <c r="K15"/>
  <c r="G15"/>
  <c r="N14"/>
  <c r="M14"/>
  <c r="K14"/>
  <c r="N13"/>
  <c r="M13"/>
  <c r="K13"/>
  <c r="N12"/>
  <c r="M12"/>
  <c r="K12"/>
  <c r="N11"/>
  <c r="M11"/>
  <c r="K11"/>
  <c r="N10"/>
  <c r="M10"/>
  <c r="J10"/>
  <c r="P10"/>
  <c r="P9"/>
  <c r="N9"/>
  <c r="M9"/>
  <c r="J9"/>
  <c r="P8"/>
  <c r="O8"/>
  <c r="L8"/>
  <c r="R3"/>
  <c r="R1"/>
  <c r="B27"/>
  <c r="F25"/>
  <c r="E11"/>
  <c r="E25"/>
  <c r="F64"/>
  <c r="F65"/>
  <c r="N64"/>
  <c r="N65"/>
  <c r="G64"/>
  <c r="G65"/>
  <c r="O64"/>
  <c r="O65"/>
  <c r="C68"/>
  <c r="E27"/>
  <c r="H64"/>
  <c r="H65"/>
  <c r="F27"/>
  <c r="O30"/>
  <c r="L61"/>
  <c r="M61"/>
  <c r="I64"/>
  <c r="I65"/>
  <c r="C64"/>
  <c r="K64"/>
  <c r="K65"/>
  <c r="D64"/>
  <c r="D65"/>
  <c r="L64"/>
  <c r="L65"/>
  <c r="E64"/>
  <c r="E65"/>
  <c r="G25"/>
  <c r="G27"/>
  <c r="C65"/>
  <c r="E54"/>
  <c r="B13" i="49"/>
  <c r="F11"/>
  <c r="G11"/>
  <c r="G33"/>
  <c r="F13"/>
  <c r="G13"/>
  <c r="E33" i="47"/>
  <c r="J11"/>
  <c r="J12"/>
  <c r="B13"/>
  <c r="F13"/>
  <c r="G13"/>
  <c r="F11"/>
  <c r="G11"/>
  <c r="G33"/>
  <c r="B11"/>
  <c r="E25" i="49"/>
  <c r="F64"/>
  <c r="F65"/>
  <c r="N64"/>
  <c r="N65"/>
  <c r="F25"/>
  <c r="G25"/>
  <c r="B27"/>
  <c r="E61"/>
  <c r="F61"/>
  <c r="G64"/>
  <c r="G65"/>
  <c r="O64"/>
  <c r="O65"/>
  <c r="F27"/>
  <c r="G27"/>
  <c r="O30"/>
  <c r="L61"/>
  <c r="M61"/>
  <c r="I64"/>
  <c r="I65"/>
  <c r="B11"/>
  <c r="J64"/>
  <c r="J65"/>
  <c r="E11"/>
  <c r="C64"/>
  <c r="K64"/>
  <c r="K65"/>
  <c r="D64"/>
  <c r="D65"/>
  <c r="L64"/>
  <c r="L65"/>
  <c r="E64"/>
  <c r="E65"/>
  <c r="J11" i="48"/>
  <c r="J12"/>
  <c r="H9"/>
  <c r="H27"/>
  <c r="H23"/>
  <c r="H29"/>
  <c r="H25"/>
  <c r="H15"/>
  <c r="H17"/>
  <c r="H13"/>
  <c r="C35"/>
  <c r="H19"/>
  <c r="H21"/>
  <c r="H11"/>
  <c r="I26"/>
  <c r="L26"/>
  <c r="E25"/>
  <c r="F64"/>
  <c r="F65"/>
  <c r="N64"/>
  <c r="N65"/>
  <c r="G64"/>
  <c r="G65"/>
  <c r="O64"/>
  <c r="O65"/>
  <c r="H64"/>
  <c r="H65"/>
  <c r="I64"/>
  <c r="I65"/>
  <c r="B11"/>
  <c r="J64"/>
  <c r="J65"/>
  <c r="C64"/>
  <c r="E54"/>
  <c r="K64"/>
  <c r="K65"/>
  <c r="D64"/>
  <c r="D65"/>
  <c r="H21" i="47"/>
  <c r="H17"/>
  <c r="H29"/>
  <c r="H13"/>
  <c r="H11"/>
  <c r="H9"/>
  <c r="H15"/>
  <c r="H27"/>
  <c r="H23"/>
  <c r="H19"/>
  <c r="C35"/>
  <c r="H25"/>
  <c r="J13"/>
  <c r="H23" i="49"/>
  <c r="H17"/>
  <c r="H9"/>
  <c r="H27"/>
  <c r="H29"/>
  <c r="H25"/>
  <c r="H13"/>
  <c r="C35"/>
  <c r="H19"/>
  <c r="H15"/>
  <c r="H21"/>
  <c r="H11"/>
  <c r="C65"/>
  <c r="E54"/>
  <c r="E33"/>
  <c r="J11"/>
  <c r="L25" i="48"/>
  <c r="O25"/>
  <c r="O26"/>
  <c r="I10"/>
  <c r="I18"/>
  <c r="L18"/>
  <c r="I28"/>
  <c r="L28"/>
  <c r="H33"/>
  <c r="I24"/>
  <c r="L24"/>
  <c r="I12"/>
  <c r="L12"/>
  <c r="I16"/>
  <c r="L16"/>
  <c r="I14"/>
  <c r="L14"/>
  <c r="I20"/>
  <c r="L20"/>
  <c r="I22"/>
  <c r="L22"/>
  <c r="C65"/>
  <c r="J13"/>
  <c r="E33"/>
  <c r="I14" i="47"/>
  <c r="L14"/>
  <c r="I24"/>
  <c r="L24"/>
  <c r="I18"/>
  <c r="L18"/>
  <c r="I26"/>
  <c r="L26"/>
  <c r="I22"/>
  <c r="L22"/>
  <c r="I20"/>
  <c r="L20"/>
  <c r="I12"/>
  <c r="L12"/>
  <c r="H33"/>
  <c r="I16"/>
  <c r="L16"/>
  <c r="I28"/>
  <c r="L28"/>
  <c r="I10"/>
  <c r="J14"/>
  <c r="J15"/>
  <c r="H33" i="49"/>
  <c r="I24"/>
  <c r="L24"/>
  <c r="I22"/>
  <c r="L22"/>
  <c r="I12"/>
  <c r="L12"/>
  <c r="I26"/>
  <c r="L26"/>
  <c r="I10"/>
  <c r="I28"/>
  <c r="L28"/>
  <c r="I18"/>
  <c r="L18"/>
  <c r="I16"/>
  <c r="L16"/>
  <c r="I14"/>
  <c r="L14"/>
  <c r="I20"/>
  <c r="L20"/>
  <c r="J12"/>
  <c r="J13"/>
  <c r="O29" i="48"/>
  <c r="O28"/>
  <c r="L27"/>
  <c r="O27"/>
  <c r="O22"/>
  <c r="L21"/>
  <c r="O21"/>
  <c r="O24"/>
  <c r="L23"/>
  <c r="O23"/>
  <c r="L17"/>
  <c r="O17"/>
  <c r="O18"/>
  <c r="L10"/>
  <c r="G48"/>
  <c r="G49"/>
  <c r="J35"/>
  <c r="N35"/>
  <c r="P35"/>
  <c r="O12"/>
  <c r="L11"/>
  <c r="O11"/>
  <c r="J15"/>
  <c r="J14"/>
  <c r="O14"/>
  <c r="L13"/>
  <c r="O13"/>
  <c r="O20"/>
  <c r="L19"/>
  <c r="O19"/>
  <c r="L15"/>
  <c r="O15"/>
  <c r="O16"/>
  <c r="L11" i="47"/>
  <c r="O11"/>
  <c r="O12"/>
  <c r="O20"/>
  <c r="L19"/>
  <c r="O19"/>
  <c r="L21"/>
  <c r="O21"/>
  <c r="O22"/>
  <c r="O26"/>
  <c r="L25"/>
  <c r="O25"/>
  <c r="O18"/>
  <c r="L17"/>
  <c r="O17"/>
  <c r="J17"/>
  <c r="J16"/>
  <c r="O29"/>
  <c r="L27"/>
  <c r="O27"/>
  <c r="O28"/>
  <c r="O24"/>
  <c r="L23"/>
  <c r="O23"/>
  <c r="G48"/>
  <c r="G49"/>
  <c r="L10"/>
  <c r="J35"/>
  <c r="N35"/>
  <c r="P35"/>
  <c r="L15"/>
  <c r="O15"/>
  <c r="O16"/>
  <c r="L13"/>
  <c r="O13"/>
  <c r="O14"/>
  <c r="O16" i="49"/>
  <c r="L15"/>
  <c r="O15"/>
  <c r="O18"/>
  <c r="L17"/>
  <c r="O17"/>
  <c r="O28"/>
  <c r="L27"/>
  <c r="O27"/>
  <c r="O29"/>
  <c r="L10"/>
  <c r="G49"/>
  <c r="J35"/>
  <c r="N35"/>
  <c r="P35"/>
  <c r="G48"/>
  <c r="J14"/>
  <c r="J15"/>
  <c r="L25"/>
  <c r="O25"/>
  <c r="O26"/>
  <c r="O12"/>
  <c r="L11"/>
  <c r="O11"/>
  <c r="O20"/>
  <c r="L19"/>
  <c r="O19"/>
  <c r="O22"/>
  <c r="L21"/>
  <c r="O21"/>
  <c r="O14"/>
  <c r="L13"/>
  <c r="O13"/>
  <c r="O24"/>
  <c r="L23"/>
  <c r="O23"/>
  <c r="E58" i="48"/>
  <c r="F58"/>
  <c r="I49"/>
  <c r="K49"/>
  <c r="C45"/>
  <c r="J17"/>
  <c r="J16"/>
  <c r="L58"/>
  <c r="M58"/>
  <c r="I48"/>
  <c r="K48"/>
  <c r="H53"/>
  <c r="O10"/>
  <c r="L9"/>
  <c r="O9"/>
  <c r="O10" i="47"/>
  <c r="L9"/>
  <c r="O9"/>
  <c r="J19"/>
  <c r="J18"/>
  <c r="E58"/>
  <c r="F58"/>
  <c r="I49"/>
  <c r="K49"/>
  <c r="C45"/>
  <c r="H53"/>
  <c r="L58"/>
  <c r="M58"/>
  <c r="I48"/>
  <c r="K48"/>
  <c r="O10" i="49"/>
  <c r="L9"/>
  <c r="O9"/>
  <c r="J16"/>
  <c r="J17"/>
  <c r="H53"/>
  <c r="L58"/>
  <c r="M58"/>
  <c r="I48"/>
  <c r="K48"/>
  <c r="J45"/>
  <c r="E58"/>
  <c r="F58"/>
  <c r="I49"/>
  <c r="K49"/>
  <c r="C45"/>
  <c r="M48" i="48"/>
  <c r="M57"/>
  <c r="M60"/>
  <c r="J19"/>
  <c r="J18"/>
  <c r="J45"/>
  <c r="M49"/>
  <c r="F57"/>
  <c r="F60"/>
  <c r="M49" i="47"/>
  <c r="F57"/>
  <c r="F60"/>
  <c r="M57"/>
  <c r="M48"/>
  <c r="M60"/>
  <c r="J21"/>
  <c r="J20"/>
  <c r="J45"/>
  <c r="J18" i="49"/>
  <c r="J19"/>
  <c r="M48"/>
  <c r="M60"/>
  <c r="M57"/>
  <c r="M49"/>
  <c r="F57"/>
  <c r="F60"/>
  <c r="C51" i="48"/>
  <c r="E73"/>
  <c r="C48"/>
  <c r="C44"/>
  <c r="C49"/>
  <c r="C50"/>
  <c r="J20"/>
  <c r="J21"/>
  <c r="N49"/>
  <c r="N51"/>
  <c r="K73"/>
  <c r="N50"/>
  <c r="N48"/>
  <c r="J44"/>
  <c r="C51" i="47"/>
  <c r="C48"/>
  <c r="C49"/>
  <c r="E73"/>
  <c r="C50"/>
  <c r="C44"/>
  <c r="J23"/>
  <c r="J22"/>
  <c r="K73"/>
  <c r="N48"/>
  <c r="N49"/>
  <c r="N51"/>
  <c r="N50"/>
  <c r="J44"/>
  <c r="C50" i="49"/>
  <c r="C48"/>
  <c r="C51"/>
  <c r="E73"/>
  <c r="C44"/>
  <c r="C49"/>
  <c r="N48"/>
  <c r="N49"/>
  <c r="N51"/>
  <c r="K73"/>
  <c r="N50"/>
  <c r="J44"/>
  <c r="J21"/>
  <c r="J20"/>
  <c r="J23" i="48"/>
  <c r="J22"/>
  <c r="N47"/>
  <c r="P74"/>
  <c r="C47"/>
  <c r="B74"/>
  <c r="J24" i="47"/>
  <c r="J25"/>
  <c r="N47"/>
  <c r="P74"/>
  <c r="C47"/>
  <c r="B74"/>
  <c r="J23" i="49"/>
  <c r="J22"/>
  <c r="N47"/>
  <c r="P74"/>
  <c r="C47"/>
  <c r="B74"/>
  <c r="J24" i="48"/>
  <c r="J25"/>
  <c r="J26" i="47"/>
  <c r="J27"/>
  <c r="J24" i="49"/>
  <c r="J25"/>
  <c r="J26" i="48"/>
  <c r="J27"/>
  <c r="J29" i="47"/>
  <c r="J30"/>
  <c r="P30"/>
  <c r="P29"/>
  <c r="J28"/>
  <c r="P28"/>
  <c r="J26" i="49"/>
  <c r="J27"/>
  <c r="J29" i="48"/>
  <c r="J30"/>
  <c r="P30"/>
  <c r="P29"/>
  <c r="J28"/>
  <c r="P28"/>
  <c r="J29" i="49"/>
  <c r="J30"/>
  <c r="P30"/>
  <c r="P29"/>
  <c r="J28"/>
  <c r="P28"/>
</calcChain>
</file>

<file path=xl/comments1.xml><?xml version="1.0" encoding="utf-8"?>
<comments xmlns="http://schemas.openxmlformats.org/spreadsheetml/2006/main">
  <authors>
    <author>Hermann Obermeyer</author>
  </authors>
  <commentList>
    <comment ref="A1" authorId="0">
      <text>
        <r>
          <rPr>
            <sz val="10"/>
            <color indexed="81"/>
            <rFont val="Tahoma"/>
            <family val="2"/>
          </rPr>
          <t>--&gt; ...freie Eingabezeilen - Der Bereich dient zur Dokumentation (... ggf. auch im Ausdruck?)</t>
        </r>
      </text>
    </comment>
    <comment ref="D5" authorId="0">
      <text>
        <r>
          <rPr>
            <sz val="10"/>
            <color indexed="62"/>
            <rFont val="Arial"/>
            <family val="2"/>
          </rPr>
          <t xml:space="preserve">In dieser Spalte kann optional der Durchlasswiderstand Rn einer 
Schicht n direkt eingegeben werden, z.B. für eine Luftschicht.
Bitte dann </t>
        </r>
        <r>
          <rPr>
            <sz val="10"/>
            <color indexed="10"/>
            <rFont val="Arial"/>
            <family val="2"/>
          </rPr>
          <t>auch</t>
        </r>
        <r>
          <rPr>
            <sz val="10"/>
            <color indexed="62"/>
            <rFont val="Arial"/>
            <family val="2"/>
          </rPr>
          <t xml:space="preserve"> die (Luftschicht-)</t>
        </r>
        <r>
          <rPr>
            <sz val="10"/>
            <color indexed="10"/>
            <rFont val="Arial"/>
            <family val="2"/>
          </rPr>
          <t xml:space="preserve"> Dicke d eingeben!
</t>
        </r>
        <r>
          <rPr>
            <sz val="10"/>
            <color indexed="62"/>
            <rFont val="Arial"/>
            <family val="2"/>
          </rPr>
          <t>(siehe DIN EN ISO 6946)</t>
        </r>
      </text>
    </comment>
    <comment ref="H8" authorId="0">
      <text>
        <r>
          <rPr>
            <sz val="12"/>
            <color indexed="62"/>
            <rFont val="Symbol"/>
            <family val="1"/>
            <charset val="2"/>
          </rPr>
          <t>q</t>
        </r>
        <r>
          <rPr>
            <sz val="10"/>
            <color indexed="62"/>
            <rFont val="Arial"/>
            <family val="2"/>
          </rPr>
          <t>i ist hier in der Regel immer</t>
        </r>
        <r>
          <rPr>
            <sz val="10"/>
            <color indexed="10"/>
            <rFont val="Arial"/>
            <family val="2"/>
          </rPr>
          <t xml:space="preserve"> 20,0 °C </t>
        </r>
        <r>
          <rPr>
            <sz val="10"/>
            <color indexed="62"/>
            <rFont val="Arial"/>
            <family val="2"/>
          </rPr>
          <t xml:space="preserve">
vgl. auch DIN 4108-2 und andere...</t>
        </r>
      </text>
    </comment>
    <comment ref="F9" authorId="0">
      <text>
        <r>
          <rPr>
            <sz val="10"/>
            <color indexed="62"/>
            <rFont val="Arial"/>
            <family val="2"/>
          </rPr>
          <t xml:space="preserve">Rsi für beheizte Räume ist hier in der Regel immer </t>
        </r>
        <r>
          <rPr>
            <sz val="10"/>
            <color indexed="10"/>
            <rFont val="Arial"/>
            <family val="2"/>
          </rPr>
          <t>0,250</t>
        </r>
        <r>
          <rPr>
            <sz val="10"/>
            <color indexed="62"/>
            <rFont val="Arial"/>
            <family val="2"/>
          </rPr>
          <t xml:space="preserve">
-unabhängig von der Wärmestromrichtung.
(....für unbeheizte Räume gilt 0,170)
vgl. auch DIN 4108-2 und andere...
</t>
        </r>
        <r>
          <rPr>
            <i/>
            <sz val="10"/>
            <color indexed="10"/>
            <rFont val="Arial"/>
            <family val="2"/>
          </rPr>
          <t xml:space="preserve">in der Praxis gibt es auch andere Werte...
</t>
        </r>
        <r>
          <rPr>
            <sz val="10"/>
            <color indexed="62"/>
            <rFont val="Arial"/>
            <family val="2"/>
          </rPr>
          <t xml:space="preserve">
Augrund von Messungen ( Gertis / Erhorn / Reiß ) werden
folgende Wärmeübergangswiderstände angegeben:
  - Vorhänge, Gardinen:        Rsi = 0,25 m²K / W
  - freistehende Schränke:    Rsi = 0,50 m²K / W
  - Einbauschränke:               Rsi = 1,00 m²K / W.
</t>
        </r>
        <r>
          <rPr>
            <sz val="10"/>
            <color indexed="10"/>
            <rFont val="Arial"/>
            <family val="2"/>
          </rPr>
          <t>...</t>
        </r>
        <r>
          <rPr>
            <i/>
            <sz val="10"/>
            <color indexed="10"/>
            <rFont val="Arial"/>
            <family val="2"/>
          </rPr>
          <t>ausprobieren!</t>
        </r>
      </text>
    </comment>
    <comment ref="A19" authorId="0">
      <text>
        <r>
          <rPr>
            <sz val="10"/>
            <color indexed="10"/>
            <rFont val="Tahoma"/>
            <family val="2"/>
          </rPr>
          <t>Tip:</t>
        </r>
        <r>
          <rPr>
            <sz val="10"/>
            <color indexed="18"/>
            <rFont val="Tahoma"/>
            <family val="2"/>
          </rPr>
          <t xml:space="preserve"> hier mit der Eingabe der 
Hauptbauteilschicht beginnen</t>
        </r>
      </text>
    </comment>
    <comment ref="F29" authorId="0">
      <text>
        <r>
          <rPr>
            <sz val="10"/>
            <color indexed="62"/>
            <rFont val="Arial"/>
            <family val="2"/>
          </rPr>
          <t xml:space="preserve">Rse ist hier in der Regel immer </t>
        </r>
        <r>
          <rPr>
            <sz val="10"/>
            <color indexed="10"/>
            <rFont val="Arial"/>
            <family val="2"/>
          </rPr>
          <t>0,040</t>
        </r>
        <r>
          <rPr>
            <sz val="10"/>
            <color indexed="62"/>
            <rFont val="Arial"/>
            <family val="2"/>
          </rPr>
          <t xml:space="preserve">
(unabhängig von der Wärmestromrichtung ...-ggf. auch 0,080 für 
unbeheizte Dachräume oder belüftete Schichten ...oder gleich Rsi ).
vgl. auch DIN 4108-2 und andere...</t>
        </r>
      </text>
    </comment>
    <comment ref="H30" authorId="0">
      <text>
        <r>
          <rPr>
            <sz val="12"/>
            <color indexed="62"/>
            <rFont val="Symbol"/>
            <family val="1"/>
            <charset val="2"/>
          </rPr>
          <t>q</t>
        </r>
        <r>
          <rPr>
            <sz val="10"/>
            <color indexed="62"/>
            <rFont val="Arial"/>
            <family val="2"/>
          </rPr>
          <t xml:space="preserve">e ist hier in der Regel immer </t>
        </r>
        <r>
          <rPr>
            <sz val="10"/>
            <color indexed="10"/>
            <rFont val="Arial"/>
            <family val="2"/>
          </rPr>
          <t xml:space="preserve">-5,0 °C </t>
        </r>
        <r>
          <rPr>
            <sz val="10"/>
            <color indexed="62"/>
            <rFont val="Arial"/>
            <family val="2"/>
          </rPr>
          <t xml:space="preserve">
(ggf. +10,00°C für Erdreich, Pufferzone, Keller,...)
vgl. auch DIN 4108-2 und andere...</t>
        </r>
      </text>
    </comment>
    <comment ref="C32" authorId="0">
      <text>
        <r>
          <rPr>
            <sz val="10"/>
            <color indexed="62"/>
            <rFont val="Arial"/>
            <family val="2"/>
          </rPr>
          <t xml:space="preserve">Rsi und Rse zur Berechnung von Wärmeverlusten 
sind </t>
        </r>
        <r>
          <rPr>
            <sz val="10"/>
            <color indexed="10"/>
            <rFont val="Arial"/>
            <family val="2"/>
          </rPr>
          <t>nicht</t>
        </r>
        <r>
          <rPr>
            <sz val="10"/>
            <color indexed="62"/>
            <rFont val="Arial"/>
            <family val="2"/>
          </rPr>
          <t xml:space="preserve"> indentisch mit denen zur Untersuchung 
von Tauwasser- und Schimmelpilz an Bauteiloberflächen.
Soll der hier dargestellte U-Wert zur Berechnung von Wärmeverlusten
</t>
        </r>
        <r>
          <rPr>
            <sz val="10"/>
            <color indexed="12"/>
            <rFont val="Arial"/>
            <family val="2"/>
          </rPr>
          <t>anderweitig verwendet werden</t>
        </r>
        <r>
          <rPr>
            <sz val="10"/>
            <color indexed="62"/>
            <rFont val="Arial"/>
            <family val="2"/>
          </rPr>
          <t xml:space="preserve">, so sind hier die entsprechenden
Rsi und Rse - Werte einzutragen. </t>
        </r>
        <r>
          <rPr>
            <sz val="10"/>
            <color indexed="10"/>
            <rFont val="Arial"/>
            <family val="2"/>
          </rPr>
          <t>Empfehlung: eintragen!</t>
        </r>
        <r>
          <rPr>
            <sz val="10"/>
            <color indexed="62"/>
            <rFont val="Arial"/>
            <family val="2"/>
          </rPr>
          <t xml:space="preserve">
(vgl. DIN EN ISO 6946)</t>
        </r>
      </text>
    </comment>
    <comment ref="F35" authorId="0">
      <text>
        <r>
          <rPr>
            <sz val="12"/>
            <color indexed="62"/>
            <rFont val="Arial"/>
            <family val="2"/>
          </rPr>
          <t>f</t>
        </r>
        <r>
          <rPr>
            <sz val="8"/>
            <color indexed="62"/>
            <rFont val="Arial"/>
            <family val="2"/>
          </rPr>
          <t>Rsi</t>
        </r>
        <r>
          <rPr>
            <sz val="10"/>
            <color indexed="62"/>
            <rFont val="Arial"/>
            <family val="2"/>
          </rPr>
          <t xml:space="preserve">  ist der sogenannte Temperaturfaktor.
Er muss an der ungünstigsten Stelle grösser </t>
        </r>
        <r>
          <rPr>
            <sz val="10"/>
            <color indexed="10"/>
            <rFont val="Arial"/>
            <family val="2"/>
          </rPr>
          <t>0,7</t>
        </r>
        <r>
          <rPr>
            <sz val="10"/>
            <color indexed="62"/>
            <rFont val="Arial"/>
            <family val="2"/>
          </rPr>
          <t xml:space="preserve"> sein,
(in der Regel mit Rsi = </t>
        </r>
        <r>
          <rPr>
            <sz val="10"/>
            <color indexed="10"/>
            <rFont val="Arial"/>
            <family val="2"/>
          </rPr>
          <t>0,25</t>
        </r>
        <r>
          <rPr>
            <sz val="10"/>
            <color indexed="62"/>
            <rFont val="Arial"/>
            <family val="2"/>
          </rPr>
          <t xml:space="preserve"> m²K/W (beheizte Räume)).
vgl.  DIN 4108-2 und andere...</t>
        </r>
      </text>
    </comment>
  </commentList>
</comments>
</file>

<file path=xl/sharedStrings.xml><?xml version="1.0" encoding="utf-8"?>
<sst xmlns="http://schemas.openxmlformats.org/spreadsheetml/2006/main" count="374" uniqueCount="131">
  <si>
    <t>d</t>
  </si>
  <si>
    <t>l</t>
  </si>
  <si>
    <t>[m]</t>
  </si>
  <si>
    <t>[m²K/W]</t>
  </si>
  <si>
    <t>Rse --&gt;</t>
  </si>
  <si>
    <t>Rsi --&gt;</t>
  </si>
  <si>
    <t>Übergang innen</t>
  </si>
  <si>
    <t>Innenputz</t>
  </si>
  <si>
    <t>Mauerwerk</t>
  </si>
  <si>
    <t>U =</t>
  </si>
  <si>
    <t>Innenluft --&gt;</t>
  </si>
  <si>
    <t>[°C]</t>
  </si>
  <si>
    <t>[%]</t>
  </si>
  <si>
    <t>=</t>
  </si>
  <si>
    <t>-</t>
  </si>
  <si>
    <t xml:space="preserve"> --&gt;</t>
  </si>
  <si>
    <t>© H.Obermeyer</t>
  </si>
  <si>
    <t>Ampel</t>
  </si>
  <si>
    <t>unkritisch</t>
  </si>
  <si>
    <t>Vorsicht</t>
  </si>
  <si>
    <t>Alarm !</t>
  </si>
  <si>
    <t>Gefahr !</t>
  </si>
  <si>
    <t>Rsi  --&gt;</t>
  </si>
  <si>
    <t>Option zur U-Wert Berechnung</t>
  </si>
  <si>
    <t>Auf der Bauteil-Innenoberfläche besteht bei relativer Raumluftfeuchte ...</t>
  </si>
  <si>
    <r>
      <t>f</t>
    </r>
    <r>
      <rPr>
        <vertAlign val="subscript"/>
        <sz val="12"/>
        <rFont val="Arial"/>
        <family val="2"/>
      </rPr>
      <t>Rsi</t>
    </r>
    <r>
      <rPr>
        <sz val="12"/>
        <rFont val="Arial"/>
        <family val="2"/>
      </rPr>
      <t xml:space="preserve">  = </t>
    </r>
  </si>
  <si>
    <t>Schimmelpilzgefahr.</t>
  </si>
  <si>
    <t>Tauwassergefahr.</t>
  </si>
  <si>
    <t>Empfehlung:</t>
  </si>
  <si>
    <t xml:space="preserve"> -------</t>
  </si>
  <si>
    <t>Rn</t>
  </si>
  <si>
    <t>Rn/Rges</t>
  </si>
  <si>
    <t>Bauteilschichten n</t>
  </si>
  <si>
    <r>
      <t>Rn, d/</t>
    </r>
    <r>
      <rPr>
        <sz val="10"/>
        <rFont val="Symbol"/>
        <family val="1"/>
        <charset val="2"/>
      </rPr>
      <t>l</t>
    </r>
  </si>
  <si>
    <t>Kommentarzeilen</t>
  </si>
  <si>
    <t>Temp.</t>
  </si>
  <si>
    <t>Maximal zulässige Luftfeuchte an der Oberfläche zur Vermeidung von Schimmelpilzgefahr (vgl. DIN und Co.)</t>
  </si>
  <si>
    <r>
      <t xml:space="preserve">Standardwert = </t>
    </r>
    <r>
      <rPr>
        <sz val="10"/>
        <color indexed="10"/>
        <rFont val="Arial"/>
        <family val="2"/>
      </rPr>
      <t>80%</t>
    </r>
    <r>
      <rPr>
        <sz val="10"/>
        <rFont val="Arial"/>
        <family val="2"/>
      </rPr>
      <t xml:space="preserve"> !</t>
    </r>
  </si>
  <si>
    <t>Dämmung ?</t>
  </si>
  <si>
    <r>
      <t>q</t>
    </r>
    <r>
      <rPr>
        <sz val="9"/>
        <rFont val="Arial"/>
        <family val="2"/>
      </rPr>
      <t xml:space="preserve">si   </t>
    </r>
    <r>
      <rPr>
        <sz val="12"/>
        <rFont val="Arial"/>
        <family val="2"/>
      </rPr>
      <t>-</t>
    </r>
    <r>
      <rPr>
        <sz val="9"/>
        <rFont val="Arial"/>
        <family val="2"/>
      </rPr>
      <t xml:space="preserve">   </t>
    </r>
    <r>
      <rPr>
        <sz val="12"/>
        <rFont val="Symbol"/>
        <family val="1"/>
        <charset val="2"/>
      </rPr>
      <t>q</t>
    </r>
    <r>
      <rPr>
        <sz val="9"/>
        <rFont val="Arial"/>
        <family val="2"/>
      </rPr>
      <t>e       [°C]</t>
    </r>
  </si>
  <si>
    <r>
      <t>q</t>
    </r>
    <r>
      <rPr>
        <sz val="9"/>
        <rFont val="Arial"/>
        <family val="2"/>
      </rPr>
      <t xml:space="preserve">i    </t>
    </r>
    <r>
      <rPr>
        <sz val="12"/>
        <rFont val="Arial"/>
        <family val="2"/>
      </rPr>
      <t>-</t>
    </r>
    <r>
      <rPr>
        <sz val="9"/>
        <rFont val="Arial"/>
        <family val="2"/>
      </rPr>
      <t xml:space="preserve">    </t>
    </r>
    <r>
      <rPr>
        <sz val="12"/>
        <rFont val="Symbol"/>
        <family val="1"/>
        <charset val="2"/>
      </rPr>
      <t>q</t>
    </r>
    <r>
      <rPr>
        <sz val="9"/>
        <rFont val="Arial"/>
        <family val="2"/>
      </rPr>
      <t>e      [°C]</t>
    </r>
  </si>
  <si>
    <r>
      <t>q</t>
    </r>
    <r>
      <rPr>
        <sz val="10"/>
        <rFont val="Arial"/>
        <family val="2"/>
      </rPr>
      <t>i</t>
    </r>
  </si>
  <si>
    <r>
      <t>q</t>
    </r>
    <r>
      <rPr>
        <sz val="10"/>
        <rFont val="Arial"/>
        <family val="2"/>
      </rPr>
      <t>si</t>
    </r>
  </si>
  <si>
    <r>
      <t>q</t>
    </r>
    <r>
      <rPr>
        <sz val="10"/>
        <rFont val="Arial"/>
        <family val="2"/>
      </rPr>
      <t>e</t>
    </r>
  </si>
  <si>
    <t>°C</t>
  </si>
  <si>
    <t>Pa</t>
  </si>
  <si>
    <t>g / m³</t>
  </si>
  <si>
    <t>Raum</t>
  </si>
  <si>
    <t>... über</t>
  </si>
  <si>
    <t xml:space="preserve">(Nur in Sonderfällen oder zu Lehr- oder Testzwecken ist hier eine Eingabe von 65% bis 95% möglich! ) </t>
  </si>
  <si>
    <t>Luft im Raum</t>
  </si>
  <si>
    <t>Luft an der 
Oberfläche</t>
  </si>
  <si>
    <t>Außentemp. --&gt;</t>
  </si>
  <si>
    <t>Übergang außen</t>
  </si>
  <si>
    <t>Hygrometer an gut sichtbarer Stelle (Augenhöhe) und klimatisch neutraler Stelle platzieren (nicht an Fenster, Heizkörper, Außenwand, ...)</t>
  </si>
  <si>
    <t>innen</t>
  </si>
  <si>
    <t>außen</t>
  </si>
  <si>
    <t>Außenputz</t>
  </si>
  <si>
    <t>Option</t>
  </si>
  <si>
    <t>Der Wärmeübergangswiderstand ist von den sich an den Wänden</t>
  </si>
  <si>
    <t>einstellenden Luftströmungen und auch vom Strahlungsaustausch</t>
  </si>
  <si>
    <t>Aufgrund von Messungen (Gertis/Erhorn/Reiß) werden folgende</t>
  </si>
  <si>
    <t>inneren Wärmeübergangswiderstände angegeben:</t>
  </si>
  <si>
    <t>Einbauschränke:</t>
  </si>
  <si>
    <t>Rsi = 1,0  m²K/W</t>
  </si>
  <si>
    <t>freistehende Schränke:</t>
  </si>
  <si>
    <t>Gardinen:</t>
  </si>
  <si>
    <t>Rsi = 0,5  m²K/W</t>
  </si>
  <si>
    <t>Rsi = 0,25  m²K/W</t>
  </si>
  <si>
    <t>Unter Beachtung der zugrunde zu legenden Randbedingungen</t>
  </si>
  <si>
    <t>muss zur Vermeidung von Tauwasser auf den Bauteiloberflächen</t>
  </si>
  <si>
    <t>betragen.</t>
  </si>
  <si>
    <t>minimale raumseitige Bauteiloberflächentemperatur den Wert</t>
  </si>
  <si>
    <t>von +12,6°C nicht unterschreiten.</t>
  </si>
  <si>
    <t>die raumseitige Oberflächentemperatur mindestens +9,3°C</t>
  </si>
  <si>
    <t>mit benachbarten Bauteilen und Möbeln abhängig.</t>
  </si>
  <si>
    <t>... um die rel. Raumluftfeuchte</t>
  </si>
  <si>
    <t>niedrig genug zu halten.</t>
  </si>
  <si>
    <t>Wärmeschutz schwach!</t>
  </si>
  <si>
    <t>Zur Vermeidung einer relativen Luftfeuchte von 80% darf die</t>
  </si>
  <si>
    <r>
      <t>f</t>
    </r>
    <r>
      <rPr>
        <vertAlign val="subscript"/>
        <sz val="22"/>
        <rFont val="Arial Unicode MS"/>
        <family val="2"/>
      </rPr>
      <t>Rsi</t>
    </r>
    <r>
      <rPr>
        <sz val="22"/>
        <rFont val="Arial Unicode MS"/>
        <family val="2"/>
      </rPr>
      <t xml:space="preserve"> =</t>
    </r>
  </si>
  <si>
    <r>
      <t>θ</t>
    </r>
    <r>
      <rPr>
        <vertAlign val="subscript"/>
        <sz val="22"/>
        <rFont val="Arial Unicode MS"/>
        <family val="2"/>
      </rPr>
      <t>si</t>
    </r>
    <r>
      <rPr>
        <sz val="22"/>
        <rFont val="Arial Unicode MS"/>
        <family val="2"/>
      </rPr>
      <t xml:space="preserve">  -  θ</t>
    </r>
    <r>
      <rPr>
        <vertAlign val="subscript"/>
        <sz val="22"/>
        <rFont val="Arial Unicode MS"/>
        <family val="2"/>
      </rPr>
      <t>e</t>
    </r>
  </si>
  <si>
    <r>
      <t>θ</t>
    </r>
    <r>
      <rPr>
        <vertAlign val="subscript"/>
        <sz val="22"/>
        <rFont val="Arial Unicode MS"/>
        <family val="2"/>
      </rPr>
      <t>i</t>
    </r>
    <r>
      <rPr>
        <sz val="22"/>
        <rFont val="Arial Unicode MS"/>
        <family val="2"/>
      </rPr>
      <t xml:space="preserve">  -  θ</t>
    </r>
    <r>
      <rPr>
        <vertAlign val="subscript"/>
        <sz val="22"/>
        <rFont val="Arial Unicode MS"/>
        <family val="2"/>
      </rPr>
      <t>e</t>
    </r>
  </si>
  <si>
    <t>Nach DIN 4108-2: Juli 2003 ist</t>
  </si>
  <si>
    <r>
      <t>θ</t>
    </r>
    <r>
      <rPr>
        <vertAlign val="subscript"/>
        <sz val="20"/>
        <rFont val="Arial Unicode MS"/>
        <family val="2"/>
      </rPr>
      <t>si</t>
    </r>
  </si>
  <si>
    <t>Dabei ist</t>
  </si>
  <si>
    <t>die raumseitige Oberflächentemperatur</t>
  </si>
  <si>
    <r>
      <t>θ</t>
    </r>
    <r>
      <rPr>
        <vertAlign val="subscript"/>
        <sz val="20"/>
        <rFont val="Arial Unicode MS"/>
        <family val="2"/>
      </rPr>
      <t>i</t>
    </r>
  </si>
  <si>
    <t>die Innenlufttemperatur</t>
  </si>
  <si>
    <t>die Außenlufttemperatur</t>
  </si>
  <si>
    <t>Es liegen folgende Randbedingungen zu Grunde:</t>
  </si>
  <si>
    <r>
      <t>Innenlufttemperatur  θ</t>
    </r>
    <r>
      <rPr>
        <vertAlign val="subscript"/>
        <sz val="20"/>
        <rFont val="Arial"/>
        <family val="2"/>
      </rPr>
      <t>i</t>
    </r>
    <r>
      <rPr>
        <sz val="20"/>
        <rFont val="Arial"/>
        <family val="2"/>
      </rPr>
      <t xml:space="preserve"> = 20°C</t>
    </r>
  </si>
  <si>
    <t>auf der sicheren Seite liegende kritische zugrunde</t>
  </si>
  <si>
    <t>gelegte Luftfeuchte nach DIN EN ISO 13788 für</t>
  </si>
  <si>
    <t>Schimmelpilzbildung auf der Bauteiloberfläche</t>
  </si>
  <si>
    <r>
      <t>relative Luftfeuchte innen φ</t>
    </r>
    <r>
      <rPr>
        <vertAlign val="subscript"/>
        <sz val="20"/>
        <rFont val="Arial"/>
        <family val="2"/>
      </rPr>
      <t>i</t>
    </r>
    <r>
      <rPr>
        <sz val="20"/>
        <rFont val="Arial"/>
        <family val="2"/>
      </rPr>
      <t xml:space="preserve"> = 50%</t>
    </r>
  </si>
  <si>
    <r>
      <t>φ</t>
    </r>
    <r>
      <rPr>
        <vertAlign val="subscript"/>
        <sz val="20"/>
        <rFont val="Arial"/>
        <family val="2"/>
      </rPr>
      <t>si</t>
    </r>
    <r>
      <rPr>
        <sz val="20"/>
        <rFont val="Arial"/>
        <family val="2"/>
      </rPr>
      <t xml:space="preserve"> = 80%</t>
    </r>
  </si>
  <si>
    <t>Wärmeübergangswiderstand innen</t>
  </si>
  <si>
    <r>
      <t>R</t>
    </r>
    <r>
      <rPr>
        <vertAlign val="subscript"/>
        <sz val="20"/>
        <rFont val="Arial"/>
        <family val="2"/>
      </rPr>
      <t>si</t>
    </r>
    <r>
      <rPr>
        <sz val="20"/>
        <rFont val="Arial"/>
        <family val="2"/>
      </rPr>
      <t xml:space="preserve"> = 0,25 m²K/W  (beheizte Räume)</t>
    </r>
  </si>
  <si>
    <r>
      <t>R</t>
    </r>
    <r>
      <rPr>
        <vertAlign val="subscript"/>
        <sz val="20"/>
        <rFont val="Arial"/>
        <family val="2"/>
      </rPr>
      <t>si</t>
    </r>
    <r>
      <rPr>
        <sz val="20"/>
        <rFont val="Arial"/>
        <family val="2"/>
      </rPr>
      <t xml:space="preserve"> = 0,17 m²K/W  (unbeheizte Räume)</t>
    </r>
  </si>
  <si>
    <t>Wärmeübergangswiderstand außen</t>
  </si>
  <si>
    <r>
      <t>R</t>
    </r>
    <r>
      <rPr>
        <vertAlign val="subscript"/>
        <sz val="20"/>
        <rFont val="Arial"/>
        <family val="2"/>
      </rPr>
      <t>se</t>
    </r>
    <r>
      <rPr>
        <sz val="20"/>
        <rFont val="Arial"/>
        <family val="2"/>
      </rPr>
      <t xml:space="preserve"> = 0,04 m²K/W</t>
    </r>
  </si>
  <si>
    <t>Bei Wärmebrücken in Bauteilen, die an das Erdreich oder an</t>
  </si>
  <si>
    <t>unbeheizte Kellerräume und Pufferzonen grenzen, muss von</t>
  </si>
  <si>
    <t>den in der Tabelle angegeben Randbedingungen ausgegangen</t>
  </si>
  <si>
    <t>werden.  (Randbedingungen nach DIN EN ISO 10211-1)</t>
  </si>
  <si>
    <t>Gebäudeteil bzw. Umgebung</t>
  </si>
  <si>
    <t>Keller</t>
  </si>
  <si>
    <t>Erdreich</t>
  </si>
  <si>
    <t>Unbeheizte Pufferzone</t>
  </si>
  <si>
    <t>Unbeheizter Dachraum</t>
  </si>
  <si>
    <t>Temperatur θ</t>
  </si>
  <si>
    <t>10°C</t>
  </si>
  <si>
    <t xml:space="preserve"> - 5°C</t>
  </si>
  <si>
    <r>
      <t>θ</t>
    </r>
    <r>
      <rPr>
        <vertAlign val="subscript"/>
        <sz val="20"/>
        <rFont val="Arial Unicode MS"/>
        <family val="2"/>
      </rPr>
      <t>e</t>
    </r>
  </si>
  <si>
    <t>Farbe</t>
  </si>
  <si>
    <t>© H. Obermeyer</t>
  </si>
  <si>
    <t>Beisp. Außenwand Vollziegel</t>
  </si>
  <si>
    <t>·</t>
  </si>
  <si>
    <t>[W/(m²·K)]</t>
  </si>
  <si>
    <t>[W/(m·K)]</t>
  </si>
  <si>
    <t>Temperaturverlauf bei Bauteilkonstruktionen ohne Wärmebrücken</t>
  </si>
  <si>
    <t>Nicht alle Fälle lassen sich mit der sehr groben "Ampel" richtig einordnen.</t>
  </si>
  <si>
    <t>Anmerkung:</t>
  </si>
  <si>
    <t xml:space="preserve">Wärmeschutz schlecht!   </t>
  </si>
  <si>
    <t>Die "Ampel" gibt nur einen schnellen Hinweis bei "normalen" Randbedingungen.</t>
  </si>
  <si>
    <r>
      <t xml:space="preserve">Benutzung der Datei </t>
    </r>
    <r>
      <rPr>
        <b/>
        <sz val="12"/>
        <color indexed="12"/>
        <rFont val="Arial"/>
        <family val="2"/>
      </rPr>
      <t>ohne</t>
    </r>
    <r>
      <rPr>
        <sz val="12"/>
        <color indexed="12"/>
        <rFont val="Arial"/>
        <family val="2"/>
      </rPr>
      <t xml:space="preserve"> jede Gewähr!</t>
    </r>
  </si>
  <si>
    <r>
      <t>W/(m</t>
    </r>
    <r>
      <rPr>
        <sz val="10"/>
        <rFont val="Arial"/>
        <family val="2"/>
      </rPr>
      <t>·K)</t>
    </r>
  </si>
  <si>
    <t xml:space="preserve">    Wärmeschutz ausreichend!</t>
  </si>
  <si>
    <t>In der Heizperiode die rel. Raumluftfeuchte immer unter 50% halten (bei Frost unter 35 %) und mit einem Hygrometer kontrollieren.</t>
  </si>
  <si>
    <t>Wärmeleitfähigkeit ?</t>
  </si>
</sst>
</file>

<file path=xl/styles.xml><?xml version="1.0" encoding="utf-8"?>
<styleSheet xmlns="http://schemas.openxmlformats.org/spreadsheetml/2006/main">
  <numFmts count="5">
    <numFmt numFmtId="164" formatCode="#,##0_ ;[Red]\-#,##0\ "/>
    <numFmt numFmtId="165" formatCode="#,##0.00_ ;[Red]\-#,##0.00\ "/>
    <numFmt numFmtId="166" formatCode="#,##0.0_ ;[Red]\-#,##0.0\ "/>
    <numFmt numFmtId="167" formatCode="#,##0.000_ ;[Red]\-#,##0.000\ "/>
    <numFmt numFmtId="168" formatCode="0.0%"/>
  </numFmts>
  <fonts count="49">
    <font>
      <sz val="10"/>
      <name val="Arial"/>
    </font>
    <font>
      <sz val="10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name val="Symbol"/>
      <family val="1"/>
      <charset val="2"/>
    </font>
    <font>
      <sz val="24"/>
      <color indexed="62"/>
      <name val="Arial"/>
      <family val="2"/>
    </font>
    <font>
      <sz val="10"/>
      <color indexed="62"/>
      <name val="Symbol"/>
      <family val="1"/>
      <charset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2"/>
      <name val="Symbol"/>
      <family val="1"/>
      <charset val="2"/>
    </font>
    <font>
      <sz val="9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11"/>
      <color indexed="6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20"/>
      <name val="Arial Unicode MS"/>
      <family val="2"/>
    </font>
    <font>
      <sz val="18"/>
      <name val="Arial Unicode MS"/>
      <family val="2"/>
    </font>
    <font>
      <sz val="11"/>
      <name val="Arial"/>
      <family val="2"/>
    </font>
    <font>
      <vertAlign val="subscript"/>
      <sz val="20"/>
      <name val="Arial Unicode MS"/>
      <family val="2"/>
    </font>
    <font>
      <sz val="22"/>
      <name val="Arial Unicode MS"/>
      <family val="2"/>
    </font>
    <font>
      <vertAlign val="subscript"/>
      <sz val="22"/>
      <name val="Arial Unicode MS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sz val="10"/>
      <name val="Arial Unicode MS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indexed="62"/>
      <name val="Arial"/>
      <family val="2"/>
    </font>
    <font>
      <b/>
      <i/>
      <sz val="12"/>
      <color indexed="62"/>
      <name val="Arial"/>
      <family val="2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color rgb="FF000080"/>
      <name val="Arial"/>
      <family val="2"/>
    </font>
    <font>
      <sz val="8"/>
      <color rgb="FF000000"/>
      <name val="Tahoma"/>
      <family val="2"/>
    </font>
    <font>
      <i/>
      <sz val="10"/>
      <color indexed="10"/>
      <name val="Arial"/>
      <family val="2"/>
    </font>
    <font>
      <sz val="12"/>
      <color indexed="62"/>
      <name val="Symbol"/>
      <family val="1"/>
      <charset val="2"/>
    </font>
    <font>
      <sz val="12"/>
      <color indexed="62"/>
      <name val="Arial"/>
      <family val="2"/>
    </font>
    <font>
      <sz val="8"/>
      <color indexed="62"/>
      <name val="Arial"/>
      <family val="2"/>
    </font>
    <font>
      <sz val="10"/>
      <color indexed="10"/>
      <name val="Tahoma"/>
      <family val="2"/>
    </font>
    <font>
      <sz val="10"/>
      <color indexed="18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hair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167" fontId="1" fillId="0" borderId="0" xfId="0" applyNumberFormat="1" applyFont="1" applyBorder="1" applyProtection="1"/>
    <xf numFmtId="166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7" fontId="1" fillId="0" borderId="0" xfId="0" applyNumberFormat="1" applyFont="1" applyBorder="1" applyAlignment="1" applyProtection="1">
      <alignment horizontal="center"/>
      <protection hidden="1"/>
    </xf>
    <xf numFmtId="166" fontId="18" fillId="0" borderId="1" xfId="0" applyNumberFormat="1" applyFont="1" applyFill="1" applyBorder="1" applyAlignment="1" applyProtection="1">
      <alignment horizontal="center"/>
      <protection locked="0"/>
    </xf>
    <xf numFmtId="167" fontId="18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7" fontId="8" fillId="0" borderId="2" xfId="0" applyNumberFormat="1" applyFont="1" applyFill="1" applyBorder="1" applyAlignment="1" applyProtection="1">
      <alignment horizontal="center"/>
      <protection hidden="1"/>
    </xf>
    <xf numFmtId="167" fontId="4" fillId="0" borderId="3" xfId="0" applyNumberFormat="1" applyFont="1" applyFill="1" applyBorder="1" applyAlignment="1" applyProtection="1">
      <alignment horizontal="right" vertical="center"/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4" fontId="6" fillId="0" borderId="5" xfId="0" applyNumberFormat="1" applyFont="1" applyFill="1" applyBorder="1" applyAlignment="1" applyProtection="1">
      <alignment horizontal="center" vertical="center"/>
      <protection hidden="1"/>
    </xf>
    <xf numFmtId="167" fontId="4" fillId="0" borderId="6" xfId="0" applyNumberFormat="1" applyFont="1" applyFill="1" applyBorder="1" applyAlignment="1" applyProtection="1">
      <alignment horizontal="left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7" fontId="7" fillId="0" borderId="1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horizontal="left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7" fontId="6" fillId="0" borderId="1" xfId="0" applyNumberFormat="1" applyFont="1" applyFill="1" applyBorder="1" applyAlignment="1" applyProtection="1">
      <alignment horizontal="left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7" fontId="9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horizontal="left"/>
      <protection hidden="1"/>
    </xf>
    <xf numFmtId="167" fontId="1" fillId="0" borderId="7" xfId="0" applyNumberFormat="1" applyFont="1" applyFill="1" applyBorder="1" applyAlignment="1" applyProtection="1">
      <alignment horizontal="center"/>
      <protection hidden="1"/>
    </xf>
    <xf numFmtId="167" fontId="1" fillId="0" borderId="8" xfId="0" applyNumberFormat="1" applyFont="1" applyFill="1" applyBorder="1" applyAlignment="1" applyProtection="1">
      <alignment horizontal="center"/>
      <protection hidden="1"/>
    </xf>
    <xf numFmtId="167" fontId="4" fillId="0" borderId="7" xfId="0" applyNumberFormat="1" applyFont="1" applyFill="1" applyBorder="1" applyAlignment="1" applyProtection="1">
      <alignment horizontal="left"/>
      <protection hidden="1"/>
    </xf>
    <xf numFmtId="167" fontId="11" fillId="0" borderId="8" xfId="0" applyNumberFormat="1" applyFont="1" applyFill="1" applyBorder="1" applyAlignment="1" applyProtection="1">
      <alignment horizontal="left"/>
      <protection hidden="1"/>
    </xf>
    <xf numFmtId="167" fontId="1" fillId="0" borderId="9" xfId="0" applyNumberFormat="1" applyFont="1" applyFill="1" applyBorder="1" applyAlignment="1" applyProtection="1">
      <alignment horizontal="center"/>
      <protection hidden="1"/>
    </xf>
    <xf numFmtId="167" fontId="6" fillId="0" borderId="1" xfId="0" applyNumberFormat="1" applyFont="1" applyFill="1" applyBorder="1" applyAlignment="1" applyProtection="1">
      <alignment horizontal="right"/>
      <protection hidden="1"/>
    </xf>
    <xf numFmtId="167" fontId="12" fillId="0" borderId="7" xfId="0" applyNumberFormat="1" applyFont="1" applyFill="1" applyBorder="1" applyAlignment="1" applyProtection="1">
      <alignment horizontal="left"/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167" fontId="1" fillId="0" borderId="9" xfId="0" applyNumberFormat="1" applyFont="1" applyFill="1" applyBorder="1" applyAlignment="1" applyProtection="1">
      <alignment horizontal="right"/>
      <protection hidden="1"/>
    </xf>
    <xf numFmtId="9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0" xfId="0" applyNumberFormat="1" applyFont="1" applyFill="1" applyBorder="1" applyAlignment="1" applyProtection="1">
      <alignment horizontal="right"/>
      <protection hidden="1"/>
    </xf>
    <xf numFmtId="167" fontId="14" fillId="0" borderId="10" xfId="0" applyNumberFormat="1" applyFont="1" applyFill="1" applyBorder="1" applyAlignment="1" applyProtection="1">
      <alignment horizontal="center" vertical="center"/>
      <protection hidden="1"/>
    </xf>
    <xf numFmtId="165" fontId="4" fillId="0" borderId="10" xfId="0" applyNumberFormat="1" applyFont="1" applyFill="1" applyBorder="1" applyAlignment="1" applyProtection="1">
      <alignment horizontal="left"/>
      <protection hidden="1"/>
    </xf>
    <xf numFmtId="165" fontId="4" fillId="0" borderId="10" xfId="0" applyNumberFormat="1" applyFont="1" applyFill="1" applyBorder="1" applyAlignment="1" applyProtection="1">
      <alignment horizontal="center"/>
      <protection hidden="1"/>
    </xf>
    <xf numFmtId="165" fontId="4" fillId="0" borderId="4" xfId="0" applyNumberFormat="1" applyFont="1" applyFill="1" applyBorder="1" applyAlignment="1" applyProtection="1">
      <alignment horizontal="right"/>
      <protection hidden="1"/>
    </xf>
    <xf numFmtId="165" fontId="4" fillId="0" borderId="4" xfId="0" applyNumberFormat="1" applyFont="1" applyFill="1" applyBorder="1" applyAlignment="1" applyProtection="1">
      <alignment horizontal="left"/>
      <protection hidden="1"/>
    </xf>
    <xf numFmtId="165" fontId="4" fillId="0" borderId="4" xfId="0" applyNumberFormat="1" applyFont="1" applyFill="1" applyBorder="1" applyAlignment="1" applyProtection="1">
      <alignment horizontal="center"/>
      <protection hidden="1"/>
    </xf>
    <xf numFmtId="167" fontId="1" fillId="0" borderId="5" xfId="0" applyNumberFormat="1" applyFont="1" applyFill="1" applyBorder="1" applyAlignment="1" applyProtection="1">
      <alignment horizontal="center"/>
      <protection hidden="1"/>
    </xf>
    <xf numFmtId="167" fontId="1" fillId="0" borderId="11" xfId="0" applyNumberFormat="1" applyFont="1" applyFill="1" applyBorder="1" applyAlignment="1" applyProtection="1">
      <alignment horizontal="center"/>
      <protection hidden="1"/>
    </xf>
    <xf numFmtId="167" fontId="4" fillId="0" borderId="12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167" fontId="1" fillId="0" borderId="0" xfId="0" applyNumberFormat="1" applyFont="1" applyFill="1" applyBorder="1" applyProtection="1">
      <protection hidden="1"/>
    </xf>
    <xf numFmtId="166" fontId="2" fillId="0" borderId="13" xfId="0" applyNumberFormat="1" applyFont="1" applyFill="1" applyBorder="1" applyAlignment="1" applyProtection="1">
      <alignment horizontal="center"/>
      <protection hidden="1"/>
    </xf>
    <xf numFmtId="164" fontId="1" fillId="0" borderId="14" xfId="0" applyNumberFormat="1" applyFont="1" applyFill="1" applyBorder="1" applyAlignment="1" applyProtection="1">
      <alignment horizontal="center"/>
      <protection hidden="1"/>
    </xf>
    <xf numFmtId="164" fontId="1" fillId="0" borderId="4" xfId="0" applyNumberFormat="1" applyFont="1" applyFill="1" applyBorder="1" applyAlignment="1" applyProtection="1">
      <alignment horizontal="center"/>
      <protection hidden="1"/>
    </xf>
    <xf numFmtId="164" fontId="1" fillId="0" borderId="5" xfId="0" applyNumberFormat="1" applyFont="1" applyFill="1" applyBorder="1" applyAlignment="1" applyProtection="1">
      <alignment horizontal="center"/>
      <protection hidden="1"/>
    </xf>
    <xf numFmtId="167" fontId="1" fillId="0" borderId="0" xfId="0" applyNumberFormat="1" applyFont="1" applyBorder="1" applyAlignment="1" applyProtection="1">
      <alignment horizontal="right"/>
      <protection hidden="1"/>
    </xf>
    <xf numFmtId="9" fontId="1" fillId="0" borderId="12" xfId="1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Border="1" applyAlignment="1" applyProtection="1">
      <protection hidden="1"/>
    </xf>
    <xf numFmtId="167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 hidden="1"/>
    </xf>
    <xf numFmtId="167" fontId="1" fillId="0" borderId="0" xfId="0" applyNumberFormat="1" applyFont="1" applyBorder="1" applyProtection="1">
      <protection locked="0" hidden="1"/>
    </xf>
    <xf numFmtId="164" fontId="4" fillId="0" borderId="1" xfId="0" applyNumberFormat="1" applyFont="1" applyFill="1" applyBorder="1" applyAlignment="1" applyProtection="1">
      <alignment horizontal="right"/>
      <protection hidden="1"/>
    </xf>
    <xf numFmtId="167" fontId="1" fillId="0" borderId="13" xfId="0" applyNumberFormat="1" applyFont="1" applyFill="1" applyBorder="1" applyAlignment="1" applyProtection="1">
      <alignment horizontal="center"/>
      <protection hidden="1"/>
    </xf>
    <xf numFmtId="167" fontId="2" fillId="0" borderId="13" xfId="0" applyNumberFormat="1" applyFont="1" applyFill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167" fontId="1" fillId="0" borderId="0" xfId="0" applyNumberFormat="1" applyFont="1" applyBorder="1" applyProtection="1">
      <protection hidden="1"/>
    </xf>
    <xf numFmtId="167" fontId="4" fillId="0" borderId="15" xfId="0" applyNumberFormat="1" applyFont="1" applyFill="1" applyBorder="1" applyAlignment="1" applyProtection="1">
      <alignment horizontal="left"/>
      <protection hidden="1"/>
    </xf>
    <xf numFmtId="167" fontId="4" fillId="0" borderId="2" xfId="0" applyNumberFormat="1" applyFont="1" applyFill="1" applyBorder="1" applyAlignment="1" applyProtection="1">
      <alignment horizontal="left"/>
      <protection hidden="1"/>
    </xf>
    <xf numFmtId="167" fontId="4" fillId="0" borderId="3" xfId="0" applyNumberFormat="1" applyFont="1" applyFill="1" applyBorder="1" applyAlignment="1" applyProtection="1">
      <alignment horizontal="left"/>
      <protection hidden="1"/>
    </xf>
    <xf numFmtId="167" fontId="4" fillId="0" borderId="13" xfId="0" applyNumberFormat="1" applyFont="1" applyFill="1" applyBorder="1" applyAlignment="1" applyProtection="1">
      <alignment horizontal="left"/>
      <protection hidden="1"/>
    </xf>
    <xf numFmtId="167" fontId="4" fillId="0" borderId="0" xfId="0" applyNumberFormat="1" applyFont="1" applyFill="1" applyBorder="1" applyAlignment="1" applyProtection="1">
      <alignment horizontal="left"/>
      <protection hidden="1"/>
    </xf>
    <xf numFmtId="167" fontId="4" fillId="0" borderId="0" xfId="0" applyNumberFormat="1" applyFont="1" applyFill="1" applyBorder="1" applyAlignment="1" applyProtection="1">
      <alignment horizontal="center"/>
      <protection hidden="1"/>
    </xf>
    <xf numFmtId="167" fontId="4" fillId="0" borderId="0" xfId="0" applyNumberFormat="1" applyFont="1" applyFill="1" applyBorder="1" applyAlignment="1" applyProtection="1">
      <alignment horizontal="left" indent="3"/>
      <protection hidden="1"/>
    </xf>
    <xf numFmtId="167" fontId="4" fillId="0" borderId="16" xfId="0" applyNumberFormat="1" applyFont="1" applyFill="1" applyBorder="1" applyAlignment="1" applyProtection="1">
      <alignment horizontal="left" indent="3"/>
      <protection hidden="1"/>
    </xf>
    <xf numFmtId="166" fontId="1" fillId="0" borderId="0" xfId="0" applyNumberFormat="1" applyFont="1" applyFill="1" applyBorder="1" applyProtection="1">
      <protection hidden="1"/>
    </xf>
    <xf numFmtId="165" fontId="17" fillId="0" borderId="16" xfId="0" applyNumberFormat="1" applyFont="1" applyFill="1" applyBorder="1" applyAlignment="1" applyProtection="1">
      <alignment horizontal="center"/>
      <protection hidden="1"/>
    </xf>
    <xf numFmtId="167" fontId="18" fillId="0" borderId="6" xfId="0" applyNumberFormat="1" applyFont="1" applyFill="1" applyBorder="1" applyAlignment="1" applyProtection="1">
      <alignment horizontal="left"/>
      <protection hidden="1"/>
    </xf>
    <xf numFmtId="167" fontId="18" fillId="0" borderId="1" xfId="0" applyNumberFormat="1" applyFont="1" applyFill="1" applyBorder="1" applyAlignment="1" applyProtection="1">
      <alignment horizontal="left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7" fontId="1" fillId="0" borderId="17" xfId="0" applyNumberFormat="1" applyFont="1" applyFill="1" applyBorder="1" applyProtection="1">
      <protection hidden="1"/>
    </xf>
    <xf numFmtId="167" fontId="1" fillId="0" borderId="2" xfId="0" applyNumberFormat="1" applyFont="1" applyFill="1" applyBorder="1" applyProtection="1">
      <protection hidden="1"/>
    </xf>
    <xf numFmtId="167" fontId="1" fillId="0" borderId="3" xfId="0" applyNumberFormat="1" applyFont="1" applyFill="1" applyBorder="1" applyProtection="1">
      <protection hidden="1"/>
    </xf>
    <xf numFmtId="167" fontId="1" fillId="0" borderId="18" xfId="0" applyNumberFormat="1" applyFont="1" applyFill="1" applyBorder="1" applyProtection="1">
      <protection hidden="1"/>
    </xf>
    <xf numFmtId="167" fontId="1" fillId="0" borderId="16" xfId="0" applyNumberFormat="1" applyFont="1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0" borderId="16" xfId="0" applyFill="1" applyBorder="1" applyProtection="1">
      <protection hidden="1"/>
    </xf>
    <xf numFmtId="167" fontId="1" fillId="0" borderId="0" xfId="0" applyNumberFormat="1" applyFont="1" applyBorder="1" applyAlignment="1" applyProtection="1">
      <alignment horizontal="left" indent="1"/>
      <protection hidden="1"/>
    </xf>
    <xf numFmtId="167" fontId="1" fillId="0" borderId="0" xfId="0" applyNumberFormat="1" applyFont="1" applyBorder="1" applyAlignment="1" applyProtection="1">
      <protection hidden="1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167" fontId="1" fillId="2" borderId="1" xfId="0" applyNumberFormat="1" applyFont="1" applyFill="1" applyBorder="1" applyProtection="1">
      <protection hidden="1"/>
    </xf>
    <xf numFmtId="9" fontId="1" fillId="0" borderId="1" xfId="1" applyFont="1" applyFill="1" applyBorder="1" applyAlignment="1" applyProtection="1">
      <alignment horizontal="center"/>
      <protection hidden="1"/>
    </xf>
    <xf numFmtId="167" fontId="7" fillId="0" borderId="1" xfId="0" applyNumberFormat="1" applyFont="1" applyBorder="1" applyAlignment="1" applyProtection="1">
      <alignment horizontal="center"/>
      <protection hidden="1"/>
    </xf>
    <xf numFmtId="167" fontId="1" fillId="0" borderId="1" xfId="0" applyNumberFormat="1" applyFont="1" applyBorder="1" applyProtection="1">
      <protection hidden="1"/>
    </xf>
    <xf numFmtId="167" fontId="18" fillId="0" borderId="8" xfId="0" applyNumberFormat="1" applyFont="1" applyFill="1" applyBorder="1" applyAlignment="1" applyProtection="1">
      <alignment horizontal="center"/>
      <protection locked="0"/>
    </xf>
    <xf numFmtId="167" fontId="18" fillId="0" borderId="19" xfId="0" applyNumberFormat="1" applyFont="1" applyFill="1" applyBorder="1" applyAlignment="1" applyProtection="1">
      <alignment horizontal="center"/>
      <protection locked="0"/>
    </xf>
    <xf numFmtId="167" fontId="20" fillId="0" borderId="0" xfId="0" applyNumberFormat="1" applyFont="1" applyFill="1" applyBorder="1" applyProtection="1">
      <protection hidden="1"/>
    </xf>
    <xf numFmtId="167" fontId="1" fillId="0" borderId="0" xfId="0" applyNumberFormat="1" applyFont="1" applyBorder="1" applyAlignment="1" applyProtection="1">
      <alignment horizontal="left" indent="1"/>
      <protection locked="0" hidden="1"/>
    </xf>
    <xf numFmtId="167" fontId="1" fillId="0" borderId="12" xfId="0" applyNumberFormat="1" applyFont="1" applyFill="1" applyBorder="1" applyProtection="1">
      <protection hidden="1"/>
    </xf>
    <xf numFmtId="167" fontId="1" fillId="0" borderId="18" xfId="0" applyNumberFormat="1" applyFont="1" applyFill="1" applyBorder="1" applyAlignment="1" applyProtection="1">
      <alignment horizontal="right"/>
      <protection hidden="1"/>
    </xf>
    <xf numFmtId="9" fontId="0" fillId="0" borderId="0" xfId="1" applyFont="1" applyFill="1" applyBorder="1" applyProtection="1">
      <protection hidden="1"/>
    </xf>
    <xf numFmtId="164" fontId="1" fillId="0" borderId="12" xfId="0" applyNumberFormat="1" applyFont="1" applyFill="1" applyBorder="1" applyProtection="1">
      <protection hidden="1"/>
    </xf>
    <xf numFmtId="9" fontId="0" fillId="0" borderId="18" xfId="1" applyFont="1" applyFill="1" applyBorder="1" applyProtection="1">
      <protection hidden="1"/>
    </xf>
    <xf numFmtId="167" fontId="1" fillId="0" borderId="0" xfId="0" applyNumberFormat="1" applyFont="1" applyFill="1" applyBorder="1" applyAlignment="1" applyProtection="1">
      <alignment horizontal="right" wrapText="1"/>
      <protection hidden="1"/>
    </xf>
    <xf numFmtId="9" fontId="1" fillId="0" borderId="0" xfId="1" applyFont="1" applyFill="1" applyBorder="1" applyProtection="1">
      <protection hidden="1"/>
    </xf>
    <xf numFmtId="0" fontId="0" fillId="4" borderId="0" xfId="0" applyFill="1"/>
    <xf numFmtId="0" fontId="0" fillId="0" borderId="0" xfId="0" applyFill="1"/>
    <xf numFmtId="167" fontId="21" fillId="0" borderId="0" xfId="0" applyNumberFormat="1" applyFont="1" applyFill="1" applyBorder="1" applyProtection="1">
      <protection hidden="1"/>
    </xf>
    <xf numFmtId="167" fontId="1" fillId="0" borderId="20" xfId="0" applyNumberFormat="1" applyFont="1" applyBorder="1" applyProtection="1">
      <protection hidden="1"/>
    </xf>
    <xf numFmtId="167" fontId="1" fillId="0" borderId="9" xfId="0" applyNumberFormat="1" applyFont="1" applyBorder="1" applyProtection="1">
      <protection hidden="1"/>
    </xf>
    <xf numFmtId="164" fontId="4" fillId="0" borderId="20" xfId="0" applyNumberFormat="1" applyFont="1" applyFill="1" applyBorder="1" applyAlignment="1" applyProtection="1">
      <alignment horizontal="right"/>
      <protection hidden="1"/>
    </xf>
    <xf numFmtId="164" fontId="1" fillId="0" borderId="21" xfId="0" applyNumberFormat="1" applyFont="1" applyFill="1" applyBorder="1" applyProtection="1">
      <protection hidden="1"/>
    </xf>
    <xf numFmtId="164" fontId="4" fillId="0" borderId="9" xfId="0" applyNumberFormat="1" applyFont="1" applyFill="1" applyBorder="1" applyAlignment="1" applyProtection="1">
      <alignment horizontal="right"/>
      <protection hidden="1"/>
    </xf>
    <xf numFmtId="164" fontId="1" fillId="0" borderId="22" xfId="0" applyNumberFormat="1" applyFont="1" applyFill="1" applyBorder="1" applyProtection="1">
      <protection hidden="1"/>
    </xf>
    <xf numFmtId="164" fontId="21" fillId="0" borderId="0" xfId="0" applyNumberFormat="1" applyFont="1" applyFill="1" applyBorder="1" applyAlignment="1" applyProtection="1">
      <alignment horizontal="right"/>
      <protection hidden="1"/>
    </xf>
    <xf numFmtId="9" fontId="21" fillId="0" borderId="0" xfId="1" applyFont="1" applyFill="1" applyBorder="1" applyProtection="1">
      <protection hidden="1"/>
    </xf>
    <xf numFmtId="164" fontId="21" fillId="0" borderId="0" xfId="0" applyNumberFormat="1" applyFont="1" applyFill="1" applyBorder="1" applyProtection="1">
      <protection hidden="1"/>
    </xf>
    <xf numFmtId="166" fontId="1" fillId="0" borderId="0" xfId="0" applyNumberFormat="1" applyFont="1" applyFill="1" applyBorder="1" applyAlignment="1" applyProtection="1">
      <alignment horizontal="left"/>
      <protection hidden="1"/>
    </xf>
    <xf numFmtId="167" fontId="22" fillId="0" borderId="0" xfId="0" applyNumberFormat="1" applyFont="1" applyBorder="1" applyProtection="1">
      <protection hidden="1"/>
    </xf>
    <xf numFmtId="167" fontId="4" fillId="0" borderId="0" xfId="0" applyNumberFormat="1" applyFont="1" applyBorder="1" applyAlignment="1" applyProtection="1">
      <alignment horizontal="left" indent="1"/>
      <protection hidden="1"/>
    </xf>
    <xf numFmtId="167" fontId="4" fillId="0" borderId="4" xfId="0" applyNumberFormat="1" applyFont="1" applyFill="1" applyBorder="1" applyProtection="1">
      <protection hidden="1"/>
    </xf>
    <xf numFmtId="165" fontId="4" fillId="0" borderId="0" xfId="0" applyNumberFormat="1" applyFont="1" applyBorder="1" applyAlignment="1" applyProtection="1">
      <alignment horizontal="left" indent="1"/>
      <protection hidden="1"/>
    </xf>
    <xf numFmtId="167" fontId="4" fillId="0" borderId="4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164" fontId="21" fillId="0" borderId="0" xfId="0" applyNumberFormat="1" applyFont="1" applyBorder="1" applyAlignment="1" applyProtection="1">
      <alignment horizontal="center"/>
      <protection hidden="1"/>
    </xf>
    <xf numFmtId="167" fontId="1" fillId="0" borderId="0" xfId="0" applyNumberFormat="1" applyFont="1" applyBorder="1" applyAlignment="1" applyProtection="1">
      <alignment horizontal="left" vertical="center" indent="1"/>
      <protection hidden="1"/>
    </xf>
    <xf numFmtId="167" fontId="18" fillId="0" borderId="23" xfId="0" applyNumberFormat="1" applyFont="1" applyFill="1" applyBorder="1" applyAlignment="1" applyProtection="1">
      <protection locked="0"/>
    </xf>
    <xf numFmtId="167" fontId="18" fillId="0" borderId="9" xfId="0" applyNumberFormat="1" applyFont="1" applyFill="1" applyBorder="1" applyAlignment="1" applyProtection="1">
      <protection locked="0"/>
    </xf>
    <xf numFmtId="167" fontId="4" fillId="0" borderId="4" xfId="0" applyNumberFormat="1" applyFont="1" applyBorder="1" applyAlignment="1" applyProtection="1">
      <protection locked="0"/>
    </xf>
    <xf numFmtId="167" fontId="4" fillId="0" borderId="0" xfId="0" applyNumberFormat="1" applyFont="1" applyBorder="1" applyAlignment="1" applyProtection="1">
      <protection locked="0"/>
    </xf>
    <xf numFmtId="167" fontId="4" fillId="0" borderId="4" xfId="0" applyNumberFormat="1" applyFont="1" applyBorder="1" applyAlignment="1" applyProtection="1">
      <alignment horizontal="center"/>
      <protection locked="0"/>
    </xf>
    <xf numFmtId="167" fontId="4" fillId="0" borderId="2" xfId="0" applyNumberFormat="1" applyFont="1" applyBorder="1" applyAlignment="1" applyProtection="1">
      <protection locked="0"/>
    </xf>
    <xf numFmtId="167" fontId="4" fillId="0" borderId="0" xfId="0" applyNumberFormat="1" applyFont="1" applyFill="1" applyBorder="1" applyProtection="1">
      <protection hidden="1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1" fillId="4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5" fontId="1" fillId="0" borderId="0" xfId="0" applyNumberFormat="1" applyFont="1" applyFill="1" applyBorder="1" applyProtection="1">
      <protection hidden="1"/>
    </xf>
    <xf numFmtId="0" fontId="34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4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/>
    <xf numFmtId="0" fontId="37" fillId="0" borderId="0" xfId="0" applyFont="1"/>
    <xf numFmtId="0" fontId="38" fillId="0" borderId="0" xfId="0" applyFont="1" applyFill="1"/>
    <xf numFmtId="167" fontId="4" fillId="0" borderId="0" xfId="0" applyNumberFormat="1" applyFont="1" applyBorder="1" applyProtection="1">
      <protection hidden="1"/>
    </xf>
    <xf numFmtId="167" fontId="14" fillId="0" borderId="4" xfId="0" applyNumberFormat="1" applyFont="1" applyFill="1" applyBorder="1" applyAlignment="1" applyProtection="1">
      <alignment horizontal="center" vertical="center"/>
      <protection hidden="1"/>
    </xf>
    <xf numFmtId="167" fontId="40" fillId="0" borderId="1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Border="1" applyAlignment="1" applyProtection="1">
      <alignment horizontal="left" vertical="center" indent="1"/>
      <protection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33" fillId="0" borderId="17" xfId="0" applyNumberFormat="1" applyFont="1" applyFill="1" applyBorder="1" applyAlignment="1" applyProtection="1">
      <alignment horizontal="center"/>
      <protection hidden="1"/>
    </xf>
    <xf numFmtId="167" fontId="33" fillId="0" borderId="2" xfId="0" applyNumberFormat="1" applyFont="1" applyFill="1" applyBorder="1" applyAlignment="1" applyProtection="1">
      <alignment horizontal="center"/>
      <protection hidden="1"/>
    </xf>
    <xf numFmtId="167" fontId="33" fillId="0" borderId="11" xfId="0" applyNumberFormat="1" applyFont="1" applyFill="1" applyBorder="1" applyAlignment="1" applyProtection="1">
      <alignment horizontal="center"/>
      <protection hidden="1"/>
    </xf>
    <xf numFmtId="167" fontId="33" fillId="0" borderId="4" xfId="0" applyNumberFormat="1" applyFont="1" applyFill="1" applyBorder="1" applyAlignment="1" applyProtection="1">
      <alignment horizontal="center"/>
      <protection hidden="1"/>
    </xf>
    <xf numFmtId="167" fontId="14" fillId="0" borderId="17" xfId="0" applyNumberFormat="1" applyFont="1" applyFill="1" applyBorder="1" applyAlignment="1" applyProtection="1">
      <alignment horizontal="right" vertical="center"/>
      <protection hidden="1"/>
    </xf>
    <xf numFmtId="167" fontId="14" fillId="0" borderId="11" xfId="0" applyNumberFormat="1" applyFont="1" applyFill="1" applyBorder="1" applyAlignment="1" applyProtection="1">
      <alignment horizontal="right" vertical="center"/>
      <protection hidden="1"/>
    </xf>
    <xf numFmtId="167" fontId="14" fillId="0" borderId="0" xfId="0" applyNumberFormat="1" applyFont="1" applyFill="1" applyBorder="1" applyAlignment="1" applyProtection="1">
      <alignment horizontal="center" vertical="center"/>
      <protection hidden="1"/>
    </xf>
    <xf numFmtId="167" fontId="14" fillId="0" borderId="4" xfId="0" applyNumberFormat="1" applyFont="1" applyFill="1" applyBorder="1" applyAlignment="1" applyProtection="1">
      <alignment horizontal="center" vertical="center"/>
      <protection hidden="1"/>
    </xf>
    <xf numFmtId="167" fontId="14" fillId="0" borderId="2" xfId="0" applyNumberFormat="1" applyFont="1" applyFill="1" applyBorder="1" applyAlignment="1" applyProtection="1">
      <alignment horizontal="left" vertical="center"/>
      <protection hidden="1"/>
    </xf>
    <xf numFmtId="167" fontId="14" fillId="0" borderId="3" xfId="0" applyNumberFormat="1" applyFont="1" applyFill="1" applyBorder="1" applyAlignment="1" applyProtection="1">
      <alignment horizontal="left" vertical="center"/>
      <protection hidden="1"/>
    </xf>
    <xf numFmtId="167" fontId="14" fillId="0" borderId="4" xfId="0" applyNumberFormat="1" applyFont="1" applyFill="1" applyBorder="1" applyAlignment="1" applyProtection="1">
      <alignment horizontal="left" vertical="center"/>
      <protection hidden="1"/>
    </xf>
    <xf numFmtId="167" fontId="14" fillId="0" borderId="5" xfId="0" applyNumberFormat="1" applyFont="1" applyFill="1" applyBorder="1" applyAlignment="1" applyProtection="1">
      <alignment horizontal="left" vertical="center"/>
      <protection hidden="1"/>
    </xf>
    <xf numFmtId="167" fontId="16" fillId="0" borderId="10" xfId="0" applyNumberFormat="1" applyFont="1" applyFill="1" applyBorder="1" applyAlignment="1" applyProtection="1">
      <alignment horizontal="center" vertical="center"/>
      <protection hidden="1"/>
    </xf>
    <xf numFmtId="167" fontId="14" fillId="0" borderId="2" xfId="0" applyNumberFormat="1" applyFont="1" applyFill="1" applyBorder="1" applyAlignment="1" applyProtection="1">
      <alignment horizontal="center" vertical="center"/>
      <protection hidden="1"/>
    </xf>
    <xf numFmtId="167" fontId="16" fillId="0" borderId="4" xfId="0" applyNumberFormat="1" applyFont="1" applyFill="1" applyBorder="1" applyAlignment="1" applyProtection="1">
      <alignment horizontal="center" vertical="center"/>
      <protection hidden="1"/>
    </xf>
    <xf numFmtId="167" fontId="13" fillId="0" borderId="17" xfId="0" applyNumberFormat="1" applyFont="1" applyFill="1" applyBorder="1" applyAlignment="1" applyProtection="1">
      <alignment horizontal="center"/>
      <protection hidden="1"/>
    </xf>
    <xf numFmtId="167" fontId="13" fillId="0" borderId="2" xfId="0" applyNumberFormat="1" applyFont="1" applyFill="1" applyBorder="1" applyAlignment="1" applyProtection="1">
      <alignment horizontal="center"/>
      <protection hidden="1"/>
    </xf>
    <xf numFmtId="167" fontId="13" fillId="0" borderId="11" xfId="0" applyNumberFormat="1" applyFont="1" applyFill="1" applyBorder="1" applyAlignment="1" applyProtection="1">
      <alignment horizontal="center"/>
      <protection hidden="1"/>
    </xf>
    <xf numFmtId="167" fontId="13" fillId="0" borderId="4" xfId="0" applyNumberFormat="1" applyFont="1" applyFill="1" applyBorder="1" applyAlignment="1" applyProtection="1">
      <alignment horizontal="center"/>
      <protection hidden="1"/>
    </xf>
    <xf numFmtId="167" fontId="10" fillId="0" borderId="2" xfId="0" applyNumberFormat="1" applyFont="1" applyFill="1" applyBorder="1" applyAlignment="1" applyProtection="1">
      <alignment horizontal="right" vertical="center"/>
      <protection hidden="1"/>
    </xf>
    <xf numFmtId="167" fontId="10" fillId="0" borderId="4" xfId="0" applyNumberFormat="1" applyFont="1" applyFill="1" applyBorder="1" applyAlignment="1" applyProtection="1">
      <alignment horizontal="right" vertical="center"/>
      <protection hidden="1"/>
    </xf>
    <xf numFmtId="9" fontId="10" fillId="0" borderId="2" xfId="1" applyNumberFormat="1" applyFont="1" applyFill="1" applyBorder="1" applyAlignment="1" applyProtection="1">
      <alignment horizontal="center" vertical="center"/>
      <protection hidden="1"/>
    </xf>
    <xf numFmtId="9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2" xfId="0" applyNumberFormat="1" applyFont="1" applyFill="1" applyBorder="1" applyAlignment="1" applyProtection="1">
      <alignment horizontal="left" vertical="center"/>
      <protection hidden="1"/>
    </xf>
    <xf numFmtId="167" fontId="10" fillId="0" borderId="4" xfId="0" applyNumberFormat="1" applyFont="1" applyFill="1" applyBorder="1" applyAlignment="1" applyProtection="1">
      <alignment horizontal="left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left" indent="1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 vertical="center" indent="2"/>
      <protection hidden="1"/>
    </xf>
    <xf numFmtId="0" fontId="23" fillId="0" borderId="0" xfId="0" applyFont="1" applyFill="1" applyAlignment="1">
      <alignment horizontal="left" vertical="center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7" fillId="0" borderId="4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</cellXfs>
  <cellStyles count="2">
    <cellStyle name="Prozent" xfId="1" builtinId="5"/>
    <cellStyle name="Standard" xfId="0" builtinId="0"/>
  </cellStyles>
  <dxfs count="58"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ndense val="0"/>
        <extend val="0"/>
      </font>
      <border>
        <bottom style="dotted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bottom style="thin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16"/>
        </patternFill>
      </fill>
    </dxf>
    <dxf>
      <font>
        <condense val="0"/>
        <extend val="0"/>
        <color indexed="16"/>
      </font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ndense val="0"/>
        <extend val="0"/>
      </font>
      <border>
        <bottom style="dotted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bottom style="thin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16"/>
        </patternFill>
      </fill>
    </dxf>
    <dxf>
      <font>
        <condense val="0"/>
        <extend val="0"/>
        <color indexed="16"/>
      </font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ndense val="0"/>
        <extend val="0"/>
      </font>
      <border>
        <bottom style="dotted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bottom style="thin">
          <color indexed="22"/>
        </bottom>
      </border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16"/>
        </patternFill>
      </fill>
    </dxf>
    <dxf>
      <font>
        <condense val="0"/>
        <extend val="0"/>
        <color indexed="16"/>
      </font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0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CC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Temperatur-Schichtdicken-Diagramm   [°C] </a:t>
            </a:r>
          </a:p>
        </c:rich>
      </c:tx>
      <c:layout>
        <c:manualLayout>
          <c:xMode val="edge"/>
          <c:yMode val="edge"/>
          <c:x val="0.24903503235759661"/>
          <c:y val="1.20481927710843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23588973413876E-2"/>
          <c:y val="8.4337504444360278E-2"/>
          <c:w val="0.84942144993711499"/>
          <c:h val="0.7966882116261893"/>
        </c:manualLayout>
      </c:layout>
      <c:scatterChart>
        <c:scatterStyle val="smoothMarker"/>
        <c:ser>
          <c:idx val="1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9"/>
            <c:spPr>
              <a:ln w="3175">
                <a:solidFill>
                  <a:srgbClr val="333399"/>
                </a:solidFill>
                <a:prstDash val="solid"/>
              </a:ln>
            </c:spPr>
          </c:dPt>
          <c:dPt>
            <c:idx val="2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xVal>
            <c:numRef>
              <c:f>'Fall 1'!$J$8:$J$30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1'!$K$8:$K$30</c:f>
              <c:numCache>
                <c:formatCode>#,##0.0_ ;[Red]\-#,##0.0\ </c:formatCode>
                <c:ptCount val="23"/>
                <c:pt idx="1">
                  <c:v>28</c:v>
                </c:pt>
                <c:pt idx="2">
                  <c:v>-18</c:v>
                </c:pt>
                <c:pt idx="3">
                  <c:v>-18</c:v>
                </c:pt>
                <c:pt idx="4">
                  <c:v>28</c:v>
                </c:pt>
                <c:pt idx="5">
                  <c:v>28</c:v>
                </c:pt>
                <c:pt idx="6">
                  <c:v>-18</c:v>
                </c:pt>
                <c:pt idx="7">
                  <c:v>-18</c:v>
                </c:pt>
                <c:pt idx="8">
                  <c:v>28</c:v>
                </c:pt>
                <c:pt idx="9">
                  <c:v>28</c:v>
                </c:pt>
                <c:pt idx="10">
                  <c:v>-18</c:v>
                </c:pt>
                <c:pt idx="11">
                  <c:v>-18</c:v>
                </c:pt>
                <c:pt idx="12">
                  <c:v>28</c:v>
                </c:pt>
                <c:pt idx="13">
                  <c:v>28</c:v>
                </c:pt>
                <c:pt idx="14">
                  <c:v>-18</c:v>
                </c:pt>
                <c:pt idx="15">
                  <c:v>-18</c:v>
                </c:pt>
                <c:pt idx="16">
                  <c:v>28</c:v>
                </c:pt>
                <c:pt idx="17">
                  <c:v>28</c:v>
                </c:pt>
                <c:pt idx="18">
                  <c:v>-18</c:v>
                </c:pt>
                <c:pt idx="19">
                  <c:v>-18</c:v>
                </c:pt>
                <c:pt idx="20">
                  <c:v>28</c:v>
                </c:pt>
              </c:numCache>
            </c:numRef>
          </c:yVal>
        </c:ser>
        <c:ser>
          <c:idx val="2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'Fall 1'!$J$8:$J$30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1'!$M$8:$M$30</c:f>
              <c:numCache>
                <c:formatCode>#,##0.00_ ;[Red]\-#,##0.00\ </c:formatCode>
                <c:ptCount val="23"/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'Fall 1'!$J$8:$J$30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1'!$N$8:$N$30</c:f>
              <c:numCache>
                <c:formatCode>#,##0.0_ ;[Red]\-#,##0.0\ </c:formatCode>
                <c:ptCount val="23"/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-18</c:v>
                </c:pt>
                <c:pt idx="19">
                  <c:v>-18</c:v>
                </c:pt>
                <c:pt idx="20">
                  <c:v>-18</c:v>
                </c:pt>
              </c:numCache>
            </c:numRef>
          </c:yVal>
          <c:smooth val="1"/>
        </c:ser>
        <c:ser>
          <c:idx val="4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2"/>
              <c:layout>
                <c:manualLayout>
                  <c:x val="-0.12779922779922784"/>
                  <c:y val="1.5745066881699979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'Fall 1'!$P$8:$P$10</c:f>
              <c:numCache>
                <c:formatCode>#,##0.00_ ;[Red]\-#,##0.00\ </c:formatCode>
                <c:ptCount val="3"/>
                <c:pt idx="0">
                  <c:v>-0.12</c:v>
                </c:pt>
                <c:pt idx="1">
                  <c:v>-0.03</c:v>
                </c:pt>
                <c:pt idx="2">
                  <c:v>0</c:v>
                </c:pt>
              </c:numCache>
            </c:numRef>
          </c:xVal>
          <c:yVal>
            <c:numRef>
              <c:f>'Fall 1'!$O$8:$O$10</c:f>
              <c:numCache>
                <c:formatCode>#,##0.0_ ;[Red]\-#,##0.0\ </c:formatCode>
                <c:ptCount val="3"/>
                <c:pt idx="0">
                  <c:v>20</c:v>
                </c:pt>
                <c:pt idx="1">
                  <c:v>18.048251894606977</c:v>
                </c:pt>
                <c:pt idx="2">
                  <c:v>12.193007578427917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diamond"/>
              <c:size val="7"/>
              <c:spPr>
                <a:solidFill>
                  <a:srgbClr val="CCFFFF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5.1320443052725352E-3"/>
                  <c:y val="-3.1372142111754112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'Fall 1'!$P$28:$P$30</c:f>
              <c:numCache>
                <c:formatCode>#,##0.00_ ;[Red]\-#,##0.00\ </c:formatCode>
                <c:ptCount val="3"/>
                <c:pt idx="0">
                  <c:v>0.41500000000000004</c:v>
                </c:pt>
                <c:pt idx="1">
                  <c:v>0.44500000000000006</c:v>
                </c:pt>
                <c:pt idx="2">
                  <c:v>0.53500000000000003</c:v>
                </c:pt>
              </c:numCache>
            </c:numRef>
          </c:xVal>
          <c:yVal>
            <c:numRef>
              <c:f>'Fall 1'!$O$28:$O$30</c:f>
              <c:numCache>
                <c:formatCode>#,##0.0_ ;[Red]\-#,##0.0\ </c:formatCode>
                <c:ptCount val="3"/>
                <c:pt idx="0">
                  <c:v>-3.7508812125484638</c:v>
                </c:pt>
                <c:pt idx="1">
                  <c:v>-4.687720303137116</c:v>
                </c:pt>
                <c:pt idx="2">
                  <c:v>-5</c:v>
                </c:pt>
              </c:numCache>
            </c:numRef>
          </c:yVal>
          <c:smooth val="1"/>
        </c:ser>
        <c:ser>
          <c:idx val="0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'Fall 1'!$J$10:$J$28</c:f>
              <c:numCache>
                <c:formatCode>#,##0.000_ ;[Red]\-#,##0.000\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0.39500000000000002</c:v>
                </c:pt>
                <c:pt idx="10">
                  <c:v>0.39500000000000002</c:v>
                </c:pt>
                <c:pt idx="11">
                  <c:v>0.41500000000000004</c:v>
                </c:pt>
                <c:pt idx="12">
                  <c:v>0.41500000000000004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</c:numCache>
            </c:numRef>
          </c:xVal>
          <c:yVal>
            <c:numRef>
              <c:f>'Fall 1'!$L$10:$L$28</c:f>
              <c:numCache>
                <c:formatCode>#,##0.00_ ;[Red]\-#,##0.00\ </c:formatCode>
                <c:ptCount val="19"/>
                <c:pt idx="0">
                  <c:v>12.193007578427917</c:v>
                </c:pt>
                <c:pt idx="1">
                  <c:v>12.193007578427917</c:v>
                </c:pt>
                <c:pt idx="2">
                  <c:v>12.193007578427917</c:v>
                </c:pt>
                <c:pt idx="3">
                  <c:v>12.193007578427917</c:v>
                </c:pt>
                <c:pt idx="4">
                  <c:v>12.193007578427917</c:v>
                </c:pt>
                <c:pt idx="5">
                  <c:v>12.193007578427917</c:v>
                </c:pt>
                <c:pt idx="6">
                  <c:v>12.193007578427917</c:v>
                </c:pt>
                <c:pt idx="7">
                  <c:v>11.523836799436024</c:v>
                </c:pt>
                <c:pt idx="8">
                  <c:v>11.523836799436024</c:v>
                </c:pt>
                <c:pt idx="9">
                  <c:v>-3.1263218188226993</c:v>
                </c:pt>
                <c:pt idx="10">
                  <c:v>-3.1263218188226993</c:v>
                </c:pt>
                <c:pt idx="11">
                  <c:v>-3.7508812125484638</c:v>
                </c:pt>
                <c:pt idx="12">
                  <c:v>-3.7508812125484638</c:v>
                </c:pt>
                <c:pt idx="13">
                  <c:v>-3.7508812125484638</c:v>
                </c:pt>
                <c:pt idx="14">
                  <c:v>-3.7508812125484638</c:v>
                </c:pt>
                <c:pt idx="15">
                  <c:v>-3.7508812125484638</c:v>
                </c:pt>
                <c:pt idx="16">
                  <c:v>-3.7508812125484638</c:v>
                </c:pt>
                <c:pt idx="17">
                  <c:v>-3.7508812125484638</c:v>
                </c:pt>
                <c:pt idx="18">
                  <c:v>-3.7508812125484638</c:v>
                </c:pt>
              </c:numCache>
            </c:numRef>
          </c:yVal>
        </c:ser>
        <c:dLbls/>
        <c:axId val="107202816"/>
        <c:axId val="107549056"/>
      </c:scatterChart>
      <c:valAx>
        <c:axId val="107202816"/>
        <c:scaling>
          <c:orientation val="minMax"/>
          <c:max val="0.85000000000000009"/>
          <c:min val="-0.2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innen          Dicke d [m]        außen</a:t>
                </a:r>
              </a:p>
            </c:rich>
          </c:tx>
          <c:layout>
            <c:manualLayout>
              <c:xMode val="edge"/>
              <c:yMode val="edge"/>
              <c:x val="0.20656393380216795"/>
              <c:y val="0.94427888720235276"/>
            </c:manualLayout>
          </c:layout>
          <c:spPr>
            <a:noFill/>
            <a:ln w="25400">
              <a:noFill/>
            </a:ln>
          </c:spPr>
        </c:title>
        <c:numFmt formatCode="#,##0.0_ ;[Red]\-#,##0.0\ 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549056"/>
        <c:crossesAt val="-20"/>
        <c:crossBetween val="midCat"/>
        <c:majorUnit val="0.2"/>
        <c:minorUnit val="0.05"/>
      </c:valAx>
      <c:valAx>
        <c:axId val="107549056"/>
        <c:scaling>
          <c:orientation val="minMax"/>
          <c:max val="30"/>
          <c:min val="-20"/>
        </c:scaling>
        <c:axPos val="r"/>
        <c:majorGridlines>
          <c:spPr>
            <a:ln w="952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20281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11774605637956E-2"/>
          <c:y val="0.12931053533593484"/>
          <c:w val="0.81617830204302211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'Fall 1'!$E$53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'Fall 1'!$C$70:$O$70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1'!$C$68:$O$68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'Fall 1'!$E$54</c:f>
              <c:strCache>
                <c:ptCount val="1"/>
                <c:pt idx="0">
                  <c:v>80%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'Fall 1'!$C$70:$O$70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1'!$C$65:$O$65</c:f>
              <c:numCache>
                <c:formatCode>#,##0_ ;[Red]\-#,##0\ </c:formatCode>
                <c:ptCount val="13"/>
                <c:pt idx="0">
                  <c:v>0.44372247332317721</c:v>
                </c:pt>
                <c:pt idx="1">
                  <c:v>0.7084096952427501</c:v>
                </c:pt>
                <c:pt idx="2">
                  <c:v>1.1105696994573482</c:v>
                </c:pt>
                <c:pt idx="3">
                  <c:v>1.7119176612103517</c:v>
                </c:pt>
                <c:pt idx="4">
                  <c:v>2.5978874021462155</c:v>
                </c:pt>
                <c:pt idx="5">
                  <c:v>3.8853367454401182</c:v>
                </c:pt>
                <c:pt idx="6">
                  <c:v>5.4423924595383788</c:v>
                </c:pt>
                <c:pt idx="7">
                  <c:v>7.5256166709804546</c:v>
                </c:pt>
                <c:pt idx="8">
                  <c:v>10.26496159411175</c:v>
                </c:pt>
                <c:pt idx="9">
                  <c:v>13.82636804771801</c:v>
                </c:pt>
                <c:pt idx="10">
                  <c:v>18.408275271565099</c:v>
                </c:pt>
                <c:pt idx="11">
                  <c:v>24.246269070414641</c:v>
                </c:pt>
                <c:pt idx="12">
                  <c:v>31.618165787340743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'Fall 1'!$D$58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'Fall 1'!$E$58:$F$58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'Fall 1'!$E$57:$F$57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8.6372193643131663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'Fall 1'!$D$61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'Fall 1'!$E$61:$F$61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'Fall 1'!$E$60:$F$60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8.4071981938521443</c:v>
                </c:pt>
              </c:numCache>
            </c:numRef>
          </c:yVal>
          <c:smooth val="1"/>
        </c:ser>
        <c:dLbls/>
        <c:axId val="114754688"/>
        <c:axId val="114756608"/>
      </c:scatterChart>
      <c:valAx>
        <c:axId val="114754688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639791169479505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756608"/>
        <c:crosses val="autoZero"/>
        <c:crossBetween val="midCat"/>
        <c:majorUnit val="5"/>
        <c:minorUnit val="1"/>
      </c:valAx>
      <c:valAx>
        <c:axId val="114756608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831096884214326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754688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867561246314269E-2"/>
          <c:y val="1.2068973306047587E-2"/>
          <c:w val="0.968752113789769"/>
          <c:h val="0.1051725462028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526901669758812E-2"/>
          <c:y val="0.12931053533593484"/>
          <c:w val="0.81261595547309862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'Fall 1'!$E$53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'Fall 1'!$C$70:$O$70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1'!$C$68:$O$68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'Fall 1'!$D$58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'Fall 1'!$L$58:$M$58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'Fall 1'!$L$57:$M$57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10.796524205391457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'Fall 1'!$D$61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'Fall 1'!$L$61:$M$61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'Fall 1'!$L$60:$M$60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10.508997742315179</c:v>
                </c:pt>
              </c:numCache>
            </c:numRef>
          </c:yVal>
          <c:smooth val="1"/>
        </c:ser>
        <c:dLbls/>
        <c:axId val="107582976"/>
        <c:axId val="107584896"/>
      </c:scatterChart>
      <c:valAx>
        <c:axId val="107582976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395176564467921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584896"/>
        <c:crosses val="autoZero"/>
        <c:crossBetween val="midCat"/>
        <c:majorUnit val="5"/>
        <c:minorUnit val="1"/>
      </c:valAx>
      <c:valAx>
        <c:axId val="107584896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393330641362148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582976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987078538259641E-2"/>
          <c:y val="1.2068973306047587E-2"/>
          <c:w val="0.977736677146126"/>
          <c:h val="0.1051725462028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Temperatur-Schichtdicken-Diagramm   [°C] </a:t>
            </a:r>
          </a:p>
        </c:rich>
      </c:tx>
      <c:layout>
        <c:manualLayout>
          <c:xMode val="edge"/>
          <c:yMode val="edge"/>
          <c:x val="0.24903503235759661"/>
          <c:y val="1.20481927710843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23588973413876E-2"/>
          <c:y val="8.4337504444360278E-2"/>
          <c:w val="0.84942144993711499"/>
          <c:h val="0.7966882116261893"/>
        </c:manualLayout>
      </c:layout>
      <c:scatterChart>
        <c:scatterStyle val="smoothMarker"/>
        <c:ser>
          <c:idx val="1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9"/>
            <c:spPr>
              <a:ln w="3175">
                <a:solidFill>
                  <a:srgbClr val="333399"/>
                </a:solidFill>
                <a:prstDash val="solid"/>
              </a:ln>
            </c:spPr>
          </c:dPt>
          <c:dPt>
            <c:idx val="2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xVal>
            <c:numRef>
              <c:f>'Fall 2'!$J$8:$J$30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2'!$K$8:$K$30</c:f>
              <c:numCache>
                <c:formatCode>#,##0.0_ ;[Red]\-#,##0.0\ </c:formatCode>
                <c:ptCount val="23"/>
                <c:pt idx="1">
                  <c:v>28</c:v>
                </c:pt>
                <c:pt idx="2">
                  <c:v>-18</c:v>
                </c:pt>
                <c:pt idx="3">
                  <c:v>-18</c:v>
                </c:pt>
                <c:pt idx="4">
                  <c:v>28</c:v>
                </c:pt>
                <c:pt idx="5">
                  <c:v>28</c:v>
                </c:pt>
                <c:pt idx="6">
                  <c:v>-18</c:v>
                </c:pt>
                <c:pt idx="7">
                  <c:v>-18</c:v>
                </c:pt>
                <c:pt idx="8">
                  <c:v>28</c:v>
                </c:pt>
                <c:pt idx="9">
                  <c:v>28</c:v>
                </c:pt>
                <c:pt idx="10">
                  <c:v>-18</c:v>
                </c:pt>
                <c:pt idx="11">
                  <c:v>-18</c:v>
                </c:pt>
                <c:pt idx="12">
                  <c:v>28</c:v>
                </c:pt>
                <c:pt idx="13">
                  <c:v>28</c:v>
                </c:pt>
                <c:pt idx="14">
                  <c:v>-18</c:v>
                </c:pt>
                <c:pt idx="15">
                  <c:v>-18</c:v>
                </c:pt>
                <c:pt idx="16">
                  <c:v>28</c:v>
                </c:pt>
                <c:pt idx="17">
                  <c:v>28</c:v>
                </c:pt>
                <c:pt idx="18">
                  <c:v>-18</c:v>
                </c:pt>
                <c:pt idx="19">
                  <c:v>-18</c:v>
                </c:pt>
                <c:pt idx="20">
                  <c:v>28</c:v>
                </c:pt>
              </c:numCache>
            </c:numRef>
          </c:yVal>
        </c:ser>
        <c:ser>
          <c:idx val="2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'Fall 2'!$J$8:$J$30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2'!$M$8:$M$30</c:f>
              <c:numCache>
                <c:formatCode>#,##0.00_ ;[Red]\-#,##0.00\ </c:formatCode>
                <c:ptCount val="23"/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'Fall 2'!$J$8:$J$30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'Fall 2'!$N$8:$N$30</c:f>
              <c:numCache>
                <c:formatCode>#,##0.0_ ;[Red]\-#,##0.0\ </c:formatCode>
                <c:ptCount val="23"/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-18</c:v>
                </c:pt>
                <c:pt idx="19">
                  <c:v>-18</c:v>
                </c:pt>
                <c:pt idx="20">
                  <c:v>-18</c:v>
                </c:pt>
              </c:numCache>
            </c:numRef>
          </c:yVal>
          <c:smooth val="1"/>
        </c:ser>
        <c:ser>
          <c:idx val="4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2"/>
              <c:layout>
                <c:manualLayout>
                  <c:x val="-0.12779922779922784"/>
                  <c:y val="1.5745066881699979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'Fall 2'!$P$8:$P$10</c:f>
              <c:numCache>
                <c:formatCode>#,##0.00_ ;[Red]\-#,##0.00\ </c:formatCode>
                <c:ptCount val="3"/>
                <c:pt idx="0">
                  <c:v>-0.12</c:v>
                </c:pt>
                <c:pt idx="1">
                  <c:v>-0.03</c:v>
                </c:pt>
                <c:pt idx="2">
                  <c:v>0</c:v>
                </c:pt>
              </c:numCache>
            </c:numRef>
          </c:xVal>
          <c:yVal>
            <c:numRef>
              <c:f>'Fall 2'!$O$8:$O$10</c:f>
              <c:numCache>
                <c:formatCode>#,##0.0_ ;[Red]\-#,##0.0\ </c:formatCode>
                <c:ptCount val="3"/>
                <c:pt idx="0">
                  <c:v>20</c:v>
                </c:pt>
                <c:pt idx="1">
                  <c:v>18.048251894606977</c:v>
                </c:pt>
                <c:pt idx="2">
                  <c:v>12.193007578427917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diamond"/>
              <c:size val="7"/>
              <c:spPr>
                <a:solidFill>
                  <a:srgbClr val="CCFFFF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5.1320443052725352E-3"/>
                  <c:y val="-3.1372142111754112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'Fall 2'!$P$28:$P$30</c:f>
              <c:numCache>
                <c:formatCode>#,##0.00_ ;[Red]\-#,##0.00\ </c:formatCode>
                <c:ptCount val="3"/>
                <c:pt idx="0">
                  <c:v>0.41500000000000004</c:v>
                </c:pt>
                <c:pt idx="1">
                  <c:v>0.44500000000000006</c:v>
                </c:pt>
                <c:pt idx="2">
                  <c:v>0.53500000000000003</c:v>
                </c:pt>
              </c:numCache>
            </c:numRef>
          </c:xVal>
          <c:yVal>
            <c:numRef>
              <c:f>'Fall 2'!$O$28:$O$30</c:f>
              <c:numCache>
                <c:formatCode>#,##0.0_ ;[Red]\-#,##0.0\ </c:formatCode>
                <c:ptCount val="3"/>
                <c:pt idx="0">
                  <c:v>-3.7508812125484638</c:v>
                </c:pt>
                <c:pt idx="1">
                  <c:v>-4.687720303137116</c:v>
                </c:pt>
                <c:pt idx="2">
                  <c:v>-5</c:v>
                </c:pt>
              </c:numCache>
            </c:numRef>
          </c:yVal>
          <c:smooth val="1"/>
        </c:ser>
        <c:ser>
          <c:idx val="0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'Fall 2'!$J$10:$J$28</c:f>
              <c:numCache>
                <c:formatCode>#,##0.000_ ;[Red]\-#,##0.000\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0.39500000000000002</c:v>
                </c:pt>
                <c:pt idx="10">
                  <c:v>0.39500000000000002</c:v>
                </c:pt>
                <c:pt idx="11">
                  <c:v>0.41500000000000004</c:v>
                </c:pt>
                <c:pt idx="12">
                  <c:v>0.41500000000000004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</c:numCache>
            </c:numRef>
          </c:xVal>
          <c:yVal>
            <c:numRef>
              <c:f>'Fall 2'!$L$10:$L$28</c:f>
              <c:numCache>
                <c:formatCode>#,##0.00_ ;[Red]\-#,##0.00\ </c:formatCode>
                <c:ptCount val="19"/>
                <c:pt idx="0">
                  <c:v>12.193007578427917</c:v>
                </c:pt>
                <c:pt idx="1">
                  <c:v>12.193007578427917</c:v>
                </c:pt>
                <c:pt idx="2">
                  <c:v>12.193007578427917</c:v>
                </c:pt>
                <c:pt idx="3">
                  <c:v>12.193007578427917</c:v>
                </c:pt>
                <c:pt idx="4">
                  <c:v>12.193007578427917</c:v>
                </c:pt>
                <c:pt idx="5">
                  <c:v>12.193007578427917</c:v>
                </c:pt>
                <c:pt idx="6">
                  <c:v>12.193007578427917</c:v>
                </c:pt>
                <c:pt idx="7">
                  <c:v>11.523836799436024</c:v>
                </c:pt>
                <c:pt idx="8">
                  <c:v>11.523836799436024</c:v>
                </c:pt>
                <c:pt idx="9">
                  <c:v>-3.1263218188226993</c:v>
                </c:pt>
                <c:pt idx="10">
                  <c:v>-3.1263218188226993</c:v>
                </c:pt>
                <c:pt idx="11">
                  <c:v>-3.7508812125484638</c:v>
                </c:pt>
                <c:pt idx="12">
                  <c:v>-3.7508812125484638</c:v>
                </c:pt>
                <c:pt idx="13">
                  <c:v>-3.7508812125484638</c:v>
                </c:pt>
                <c:pt idx="14">
                  <c:v>-3.7508812125484638</c:v>
                </c:pt>
                <c:pt idx="15">
                  <c:v>-3.7508812125484638</c:v>
                </c:pt>
                <c:pt idx="16">
                  <c:v>-3.7508812125484638</c:v>
                </c:pt>
                <c:pt idx="17">
                  <c:v>-3.7508812125484638</c:v>
                </c:pt>
                <c:pt idx="18">
                  <c:v>-3.7508812125484638</c:v>
                </c:pt>
              </c:numCache>
            </c:numRef>
          </c:yVal>
        </c:ser>
        <c:dLbls/>
        <c:axId val="115030272"/>
        <c:axId val="115048832"/>
      </c:scatterChart>
      <c:valAx>
        <c:axId val="115030272"/>
        <c:scaling>
          <c:orientation val="minMax"/>
          <c:max val="0.85000000000000009"/>
          <c:min val="-0.2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innen          Dicke d [m]        außen</a:t>
                </a:r>
              </a:p>
            </c:rich>
          </c:tx>
          <c:layout>
            <c:manualLayout>
              <c:xMode val="edge"/>
              <c:yMode val="edge"/>
              <c:x val="0.20656393380216795"/>
              <c:y val="0.94427888720235276"/>
            </c:manualLayout>
          </c:layout>
          <c:spPr>
            <a:noFill/>
            <a:ln w="25400">
              <a:noFill/>
            </a:ln>
          </c:spPr>
        </c:title>
        <c:numFmt formatCode="#,##0.0_ ;[Red]\-#,##0.0\ 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048832"/>
        <c:crossesAt val="-20"/>
        <c:crossBetween val="midCat"/>
        <c:majorUnit val="0.2"/>
        <c:minorUnit val="0.05"/>
      </c:valAx>
      <c:valAx>
        <c:axId val="115048832"/>
        <c:scaling>
          <c:orientation val="minMax"/>
          <c:max val="30"/>
          <c:min val="-20"/>
        </c:scaling>
        <c:axPos val="r"/>
        <c:majorGridlines>
          <c:spPr>
            <a:ln w="952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03027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11774605637956E-2"/>
          <c:y val="0.12931053533593484"/>
          <c:w val="0.81617830204302211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'Fall 2'!$E$53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'Fall 2'!$C$70:$O$70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2'!$C$68:$O$68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'Fall 2'!$E$54</c:f>
              <c:strCache>
                <c:ptCount val="1"/>
                <c:pt idx="0">
                  <c:v>80%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'Fall 2'!$C$70:$O$70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2'!$C$65:$O$65</c:f>
              <c:numCache>
                <c:formatCode>#,##0_ ;[Red]\-#,##0\ </c:formatCode>
                <c:ptCount val="13"/>
                <c:pt idx="0">
                  <c:v>0.44372247332317721</c:v>
                </c:pt>
                <c:pt idx="1">
                  <c:v>0.7084096952427501</c:v>
                </c:pt>
                <c:pt idx="2">
                  <c:v>1.1105696994573482</c:v>
                </c:pt>
                <c:pt idx="3">
                  <c:v>1.7119176612103517</c:v>
                </c:pt>
                <c:pt idx="4">
                  <c:v>2.5978874021462155</c:v>
                </c:pt>
                <c:pt idx="5">
                  <c:v>3.8853367454401182</c:v>
                </c:pt>
                <c:pt idx="6">
                  <c:v>5.4423924595383788</c:v>
                </c:pt>
                <c:pt idx="7">
                  <c:v>7.5256166709804546</c:v>
                </c:pt>
                <c:pt idx="8">
                  <c:v>10.26496159411175</c:v>
                </c:pt>
                <c:pt idx="9">
                  <c:v>13.82636804771801</c:v>
                </c:pt>
                <c:pt idx="10">
                  <c:v>18.408275271565099</c:v>
                </c:pt>
                <c:pt idx="11">
                  <c:v>24.246269070414641</c:v>
                </c:pt>
                <c:pt idx="12">
                  <c:v>31.618165787340743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'Fall 2'!$D$58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'Fall 2'!$E$58:$F$58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'Fall 2'!$E$57:$F$57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8.6372193643131663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'Fall 2'!$D$61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'Fall 2'!$E$61:$F$61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'Fall 2'!$E$60:$F$60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8.4071981938521443</c:v>
                </c:pt>
              </c:numCache>
            </c:numRef>
          </c:yVal>
          <c:smooth val="1"/>
        </c:ser>
        <c:dLbls/>
        <c:axId val="121992320"/>
        <c:axId val="121994240"/>
      </c:scatterChart>
      <c:valAx>
        <c:axId val="121992320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639791169479505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994240"/>
        <c:crosses val="autoZero"/>
        <c:crossBetween val="midCat"/>
        <c:majorUnit val="5"/>
        <c:minorUnit val="1"/>
      </c:valAx>
      <c:valAx>
        <c:axId val="121994240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831096884214326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992320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867561246314269E-2"/>
          <c:y val="1.2068973306047587E-2"/>
          <c:w val="0.968752113789769"/>
          <c:h val="0.1051725462028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526901669758812E-2"/>
          <c:y val="0.12931053533593484"/>
          <c:w val="0.81261595547309862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'Fall 2'!$E$53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'Fall 2'!$C$70:$O$70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'Fall 2'!$C$68:$O$68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'Fall 2'!$D$58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'Fall 2'!$L$58:$M$58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'Fall 2'!$L$57:$M$57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10.796524205391457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'Fall 2'!$D$61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'Fall 2'!$L$61:$M$61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'Fall 2'!$L$60:$M$60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10.508997742315179</c:v>
                </c:pt>
              </c:numCache>
            </c:numRef>
          </c:yVal>
          <c:smooth val="1"/>
        </c:ser>
        <c:dLbls/>
        <c:axId val="122041856"/>
        <c:axId val="122043776"/>
      </c:scatterChart>
      <c:valAx>
        <c:axId val="122041856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395176564467921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043776"/>
        <c:crosses val="autoZero"/>
        <c:crossBetween val="midCat"/>
        <c:majorUnit val="5"/>
        <c:minorUnit val="1"/>
      </c:valAx>
      <c:valAx>
        <c:axId val="122043776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393330641362148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041856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987078538259641E-2"/>
          <c:y val="1.2068973306047587E-2"/>
          <c:w val="0.977736677146126"/>
          <c:h val="0.1051725462028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Temperatur-Schichtdicken-Diagramm   [°C] </a:t>
            </a:r>
          </a:p>
        </c:rich>
      </c:tx>
      <c:layout>
        <c:manualLayout>
          <c:xMode val="edge"/>
          <c:yMode val="edge"/>
          <c:x val="0.24903503235759661"/>
          <c:y val="1.20481927710843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23588973413876E-2"/>
          <c:y val="8.4337504444360278E-2"/>
          <c:w val="0.84942144993711499"/>
          <c:h val="0.7966882116261893"/>
        </c:manualLayout>
      </c:layout>
      <c:scatterChart>
        <c:scatterStyle val="smoothMarker"/>
        <c:ser>
          <c:idx val="1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2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4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8"/>
            <c:spPr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9"/>
            <c:spPr>
              <a:ln w="3175">
                <a:solidFill>
                  <a:srgbClr val="333399"/>
                </a:solidFill>
                <a:prstDash val="solid"/>
              </a:ln>
            </c:spPr>
          </c:dPt>
          <c:dPt>
            <c:idx val="2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xVal>
            <c:numRef>
              <c:f>Beispiel!$J$8:$J$30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Beispiel!$K$8:$K$30</c:f>
              <c:numCache>
                <c:formatCode>#,##0.0_ ;[Red]\-#,##0.0\ </c:formatCode>
                <c:ptCount val="23"/>
                <c:pt idx="1">
                  <c:v>28</c:v>
                </c:pt>
                <c:pt idx="2">
                  <c:v>-18</c:v>
                </c:pt>
                <c:pt idx="3">
                  <c:v>-18</c:v>
                </c:pt>
                <c:pt idx="4">
                  <c:v>28</c:v>
                </c:pt>
                <c:pt idx="5">
                  <c:v>28</c:v>
                </c:pt>
                <c:pt idx="6">
                  <c:v>-18</c:v>
                </c:pt>
                <c:pt idx="7">
                  <c:v>-18</c:v>
                </c:pt>
                <c:pt idx="8">
                  <c:v>28</c:v>
                </c:pt>
                <c:pt idx="9">
                  <c:v>28</c:v>
                </c:pt>
                <c:pt idx="10">
                  <c:v>-18</c:v>
                </c:pt>
                <c:pt idx="11">
                  <c:v>-18</c:v>
                </c:pt>
                <c:pt idx="12">
                  <c:v>28</c:v>
                </c:pt>
                <c:pt idx="13">
                  <c:v>28</c:v>
                </c:pt>
                <c:pt idx="14">
                  <c:v>-18</c:v>
                </c:pt>
                <c:pt idx="15">
                  <c:v>-18</c:v>
                </c:pt>
                <c:pt idx="16">
                  <c:v>28</c:v>
                </c:pt>
                <c:pt idx="17">
                  <c:v>28</c:v>
                </c:pt>
                <c:pt idx="18">
                  <c:v>-18</c:v>
                </c:pt>
                <c:pt idx="19">
                  <c:v>-18</c:v>
                </c:pt>
                <c:pt idx="20">
                  <c:v>28</c:v>
                </c:pt>
              </c:numCache>
            </c:numRef>
          </c:yVal>
        </c:ser>
        <c:ser>
          <c:idx val="2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Beispiel!$J$8:$J$30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Beispiel!$M$8:$M$30</c:f>
              <c:numCache>
                <c:formatCode>#,##0.00_ ;[Red]\-#,##0.00\ </c:formatCode>
                <c:ptCount val="23"/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Beispiel!$J$8:$J$30</c:f>
              <c:numCache>
                <c:formatCode>#,##0.000_ ;[Red]\-#,##0.000\ </c:formatCode>
                <c:ptCount val="23"/>
                <c:pt idx="0">
                  <c:v>-0.12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0.39500000000000002</c:v>
                </c:pt>
                <c:pt idx="12">
                  <c:v>0.39500000000000002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  <c:pt idx="19">
                  <c:v>0.41500000000000004</c:v>
                </c:pt>
                <c:pt idx="20">
                  <c:v>0.41500000000000004</c:v>
                </c:pt>
                <c:pt idx="21">
                  <c:v>0.53500000000000003</c:v>
                </c:pt>
                <c:pt idx="22">
                  <c:v>0.53500000000000003</c:v>
                </c:pt>
              </c:numCache>
            </c:numRef>
          </c:xVal>
          <c:yVal>
            <c:numRef>
              <c:f>Beispiel!$N$8:$N$30</c:f>
              <c:numCache>
                <c:formatCode>#,##0.0_ ;[Red]\-#,##0.0\ </c:formatCode>
                <c:ptCount val="23"/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-18</c:v>
                </c:pt>
                <c:pt idx="19">
                  <c:v>-18</c:v>
                </c:pt>
                <c:pt idx="20">
                  <c:v>-18</c:v>
                </c:pt>
              </c:numCache>
            </c:numRef>
          </c:yVal>
          <c:smooth val="1"/>
        </c:ser>
        <c:ser>
          <c:idx val="4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2"/>
              <c:layout>
                <c:manualLayout>
                  <c:x val="-0.12779922779922784"/>
                  <c:y val="1.5745066881699979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Beispiel!$P$8:$P$10</c:f>
              <c:numCache>
                <c:formatCode>#,##0.00_ ;[Red]\-#,##0.00\ </c:formatCode>
                <c:ptCount val="3"/>
                <c:pt idx="0">
                  <c:v>-0.12</c:v>
                </c:pt>
                <c:pt idx="1">
                  <c:v>-0.03</c:v>
                </c:pt>
                <c:pt idx="2">
                  <c:v>0</c:v>
                </c:pt>
              </c:numCache>
            </c:numRef>
          </c:xVal>
          <c:yVal>
            <c:numRef>
              <c:f>Beispiel!$O$8:$O$10</c:f>
              <c:numCache>
                <c:formatCode>#,##0.0_ ;[Red]\-#,##0.0\ </c:formatCode>
                <c:ptCount val="3"/>
                <c:pt idx="0">
                  <c:v>20</c:v>
                </c:pt>
                <c:pt idx="1">
                  <c:v>18.048251894606977</c:v>
                </c:pt>
                <c:pt idx="2">
                  <c:v>12.193007578427917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diamond"/>
              <c:size val="7"/>
              <c:spPr>
                <a:solidFill>
                  <a:srgbClr val="CCFFFF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5.1320443052725352E-3"/>
                  <c:y val="-3.1372142111754112E-2"/>
                </c:manualLayout>
              </c:layout>
              <c:spPr>
                <a:solidFill>
                  <a:srgbClr val="FFFFCC"/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Beispiel!$P$28:$P$30</c:f>
              <c:numCache>
                <c:formatCode>#,##0.00_ ;[Red]\-#,##0.00\ </c:formatCode>
                <c:ptCount val="3"/>
                <c:pt idx="0">
                  <c:v>0.41500000000000004</c:v>
                </c:pt>
                <c:pt idx="1">
                  <c:v>0.44500000000000006</c:v>
                </c:pt>
                <c:pt idx="2">
                  <c:v>0.53500000000000003</c:v>
                </c:pt>
              </c:numCache>
            </c:numRef>
          </c:xVal>
          <c:yVal>
            <c:numRef>
              <c:f>Beispiel!$O$28:$O$30</c:f>
              <c:numCache>
                <c:formatCode>#,##0.0_ ;[Red]\-#,##0.0\ </c:formatCode>
                <c:ptCount val="3"/>
                <c:pt idx="0">
                  <c:v>-3.7508812125484638</c:v>
                </c:pt>
                <c:pt idx="1">
                  <c:v>-4.687720303137116</c:v>
                </c:pt>
                <c:pt idx="2">
                  <c:v>-5</c:v>
                </c:pt>
              </c:numCache>
            </c:numRef>
          </c:yVal>
          <c:smooth val="1"/>
        </c:ser>
        <c:ser>
          <c:idx val="0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Beispiel!$J$10:$J$28</c:f>
              <c:numCache>
                <c:formatCode>#,##0.000_ ;[Red]\-#,##0.000\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0.39500000000000002</c:v>
                </c:pt>
                <c:pt idx="10">
                  <c:v>0.39500000000000002</c:v>
                </c:pt>
                <c:pt idx="11">
                  <c:v>0.41500000000000004</c:v>
                </c:pt>
                <c:pt idx="12">
                  <c:v>0.41500000000000004</c:v>
                </c:pt>
                <c:pt idx="13">
                  <c:v>0.41500000000000004</c:v>
                </c:pt>
                <c:pt idx="14">
                  <c:v>0.41500000000000004</c:v>
                </c:pt>
                <c:pt idx="15">
                  <c:v>0.41500000000000004</c:v>
                </c:pt>
                <c:pt idx="16">
                  <c:v>0.41500000000000004</c:v>
                </c:pt>
                <c:pt idx="17">
                  <c:v>0.41500000000000004</c:v>
                </c:pt>
                <c:pt idx="18">
                  <c:v>0.41500000000000004</c:v>
                </c:pt>
              </c:numCache>
            </c:numRef>
          </c:xVal>
          <c:yVal>
            <c:numRef>
              <c:f>Beispiel!$L$10:$L$28</c:f>
              <c:numCache>
                <c:formatCode>#,##0.00_ ;[Red]\-#,##0.00\ </c:formatCode>
                <c:ptCount val="19"/>
                <c:pt idx="0">
                  <c:v>12.193007578427917</c:v>
                </c:pt>
                <c:pt idx="1">
                  <c:v>12.193007578427917</c:v>
                </c:pt>
                <c:pt idx="2">
                  <c:v>12.193007578427917</c:v>
                </c:pt>
                <c:pt idx="3">
                  <c:v>12.193007578427917</c:v>
                </c:pt>
                <c:pt idx="4">
                  <c:v>12.193007578427917</c:v>
                </c:pt>
                <c:pt idx="5">
                  <c:v>12.193007578427917</c:v>
                </c:pt>
                <c:pt idx="6">
                  <c:v>12.193007578427917</c:v>
                </c:pt>
                <c:pt idx="7">
                  <c:v>11.523836799436024</c:v>
                </c:pt>
                <c:pt idx="8">
                  <c:v>11.523836799436024</c:v>
                </c:pt>
                <c:pt idx="9">
                  <c:v>-3.1263218188226993</c:v>
                </c:pt>
                <c:pt idx="10">
                  <c:v>-3.1263218188226993</c:v>
                </c:pt>
                <c:pt idx="11">
                  <c:v>-3.7508812125484638</c:v>
                </c:pt>
                <c:pt idx="12">
                  <c:v>-3.7508812125484638</c:v>
                </c:pt>
                <c:pt idx="13">
                  <c:v>-3.7508812125484638</c:v>
                </c:pt>
                <c:pt idx="14">
                  <c:v>-3.7508812125484638</c:v>
                </c:pt>
                <c:pt idx="15">
                  <c:v>-3.7508812125484638</c:v>
                </c:pt>
                <c:pt idx="16">
                  <c:v>-3.7508812125484638</c:v>
                </c:pt>
                <c:pt idx="17">
                  <c:v>-3.7508812125484638</c:v>
                </c:pt>
                <c:pt idx="18">
                  <c:v>-3.7508812125484638</c:v>
                </c:pt>
              </c:numCache>
            </c:numRef>
          </c:yVal>
        </c:ser>
        <c:dLbls/>
        <c:axId val="124377344"/>
        <c:axId val="124457344"/>
      </c:scatterChart>
      <c:valAx>
        <c:axId val="124377344"/>
        <c:scaling>
          <c:orientation val="minMax"/>
          <c:max val="0.85000000000000009"/>
          <c:min val="-0.2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innen          Dicke d [m]        außen</a:t>
                </a:r>
              </a:p>
            </c:rich>
          </c:tx>
          <c:layout>
            <c:manualLayout>
              <c:xMode val="edge"/>
              <c:yMode val="edge"/>
              <c:x val="0.20656393380216795"/>
              <c:y val="0.94427888720235276"/>
            </c:manualLayout>
          </c:layout>
          <c:spPr>
            <a:noFill/>
            <a:ln w="25400">
              <a:noFill/>
            </a:ln>
          </c:spPr>
        </c:title>
        <c:numFmt formatCode="#,##0.0_ ;[Red]\-#,##0.0\ 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457344"/>
        <c:crossesAt val="-20"/>
        <c:crossBetween val="midCat"/>
        <c:majorUnit val="0.2"/>
        <c:minorUnit val="0.05"/>
      </c:valAx>
      <c:valAx>
        <c:axId val="124457344"/>
        <c:scaling>
          <c:orientation val="minMax"/>
          <c:max val="30"/>
          <c:min val="-20"/>
        </c:scaling>
        <c:axPos val="r"/>
        <c:majorGridlines>
          <c:spPr>
            <a:ln w="952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377344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11774605637956E-2"/>
          <c:y val="0.12931053533593484"/>
          <c:w val="0.81617830204302211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Beispiel!$E$53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Beispiel!$C$70:$O$70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Beispiel!$C$68:$O$68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Beispiel!$E$54</c:f>
              <c:strCache>
                <c:ptCount val="1"/>
                <c:pt idx="0">
                  <c:v>80%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Beispiel!$C$70:$O$70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Beispiel!$C$65:$O$65</c:f>
              <c:numCache>
                <c:formatCode>#,##0_ ;[Red]\-#,##0\ </c:formatCode>
                <c:ptCount val="13"/>
                <c:pt idx="0">
                  <c:v>0.44372247332317721</c:v>
                </c:pt>
                <c:pt idx="1">
                  <c:v>0.7084096952427501</c:v>
                </c:pt>
                <c:pt idx="2">
                  <c:v>1.1105696994573482</c:v>
                </c:pt>
                <c:pt idx="3">
                  <c:v>1.7119176612103517</c:v>
                </c:pt>
                <c:pt idx="4">
                  <c:v>2.5978874021462155</c:v>
                </c:pt>
                <c:pt idx="5">
                  <c:v>3.8853367454401182</c:v>
                </c:pt>
                <c:pt idx="6">
                  <c:v>5.4423924595383788</c:v>
                </c:pt>
                <c:pt idx="7">
                  <c:v>7.5256166709804546</c:v>
                </c:pt>
                <c:pt idx="8">
                  <c:v>10.26496159411175</c:v>
                </c:pt>
                <c:pt idx="9">
                  <c:v>13.82636804771801</c:v>
                </c:pt>
                <c:pt idx="10">
                  <c:v>18.408275271565099</c:v>
                </c:pt>
                <c:pt idx="11">
                  <c:v>24.246269070414641</c:v>
                </c:pt>
                <c:pt idx="12">
                  <c:v>31.618165787340743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Beispiel!$D$58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Beispiel!$E$58:$F$58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Beispiel!$E$57:$F$57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8.6372193643131663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Beispiel!$D$61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Beispiel!$E$61:$F$61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Beispiel!$E$60:$F$60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8.4071981938521443</c:v>
                </c:pt>
              </c:numCache>
            </c:numRef>
          </c:yVal>
          <c:smooth val="1"/>
        </c:ser>
        <c:dLbls/>
        <c:axId val="124396672"/>
        <c:axId val="124398592"/>
      </c:scatterChart>
      <c:valAx>
        <c:axId val="124396672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639791169479505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398592"/>
        <c:crosses val="autoZero"/>
        <c:crossBetween val="midCat"/>
        <c:majorUnit val="5"/>
        <c:minorUnit val="1"/>
      </c:valAx>
      <c:valAx>
        <c:axId val="124398592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831096884214326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396672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67561246314269E-2"/>
          <c:y val="1.2068973306047587E-2"/>
          <c:w val="0.95588455254345484"/>
          <c:h val="9.31035728967613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2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526901669758812E-2"/>
          <c:y val="0.12931053533593484"/>
          <c:w val="0.81261595547309862"/>
          <c:h val="0.72586313835238092"/>
        </c:manualLayout>
      </c:layout>
      <c:scatterChart>
        <c:scatterStyle val="smoothMarker"/>
        <c:ser>
          <c:idx val="0"/>
          <c:order val="0"/>
          <c:tx>
            <c:strRef>
              <c:f>Beispiel!$E$53</c:f>
              <c:strCache>
                <c:ptCount val="1"/>
                <c:pt idx="0">
                  <c:v>100%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Beispiel!$C$70:$O$70</c:f>
              <c:numCache>
                <c:formatCode>#,##0_ ;[Red]\-#,##0\ </c:formatCode>
                <c:ptCount val="13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xVal>
          <c:yVal>
            <c:numRef>
              <c:f>Beispiel!$C$68:$O$68</c:f>
              <c:numCache>
                <c:formatCode>#,##0_ ;[Red]\-#,##0\ </c:formatCode>
                <c:ptCount val="13"/>
                <c:pt idx="0">
                  <c:v>0.55465309165397148</c:v>
                </c:pt>
                <c:pt idx="1">
                  <c:v>0.88551211905343763</c:v>
                </c:pt>
                <c:pt idx="2">
                  <c:v>1.3882121243216852</c:v>
                </c:pt>
                <c:pt idx="3">
                  <c:v>2.1398970765129395</c:v>
                </c:pt>
                <c:pt idx="4">
                  <c:v>3.2473592526827693</c:v>
                </c:pt>
                <c:pt idx="5">
                  <c:v>4.8566709318001475</c:v>
                </c:pt>
                <c:pt idx="6">
                  <c:v>6.8029905744229726</c:v>
                </c:pt>
                <c:pt idx="7">
                  <c:v>9.4070208387255683</c:v>
                </c:pt>
                <c:pt idx="8">
                  <c:v>12.831201992639686</c:v>
                </c:pt>
                <c:pt idx="9">
                  <c:v>17.282960059647511</c:v>
                </c:pt>
                <c:pt idx="10">
                  <c:v>23.010344089456375</c:v>
                </c:pt>
                <c:pt idx="11">
                  <c:v>30.307836338018301</c:v>
                </c:pt>
                <c:pt idx="12">
                  <c:v>39.522707234175925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Beispiel!$D$58</c:f>
              <c:strCache>
                <c:ptCount val="1"/>
                <c:pt idx="0">
                  <c:v>Luft an der 
Oberfläche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Beispiel!$L$58:$M$58</c:f>
              <c:numCache>
                <c:formatCode>#,##0.000_ ;[Red]\-#,##0.000\ </c:formatCode>
                <c:ptCount val="2"/>
                <c:pt idx="0">
                  <c:v>12.193007578427917</c:v>
                </c:pt>
                <c:pt idx="1">
                  <c:v>12.193007578427917</c:v>
                </c:pt>
              </c:numCache>
            </c:numRef>
          </c:xVal>
          <c:yVal>
            <c:numRef>
              <c:f>Beispiel!$L$57:$M$57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10.796524205391457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Beispiel!$D$61</c:f>
              <c:strCache>
                <c:ptCount val="1"/>
                <c:pt idx="0">
                  <c:v>Luft im Raum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Beispiel!$L$61:$M$61</c:f>
              <c:numCache>
                <c:formatCode>#,##0.000_ ;[Red]\-#,##0.000\ 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Beispiel!$L$60:$M$60</c:f>
              <c:numCache>
                <c:formatCode>#,##0.000_ ;[Red]\-#,##0.000\ </c:formatCode>
                <c:ptCount val="2"/>
                <c:pt idx="0">
                  <c:v>0</c:v>
                </c:pt>
                <c:pt idx="1">
                  <c:v>10.508997742315179</c:v>
                </c:pt>
              </c:numCache>
            </c:numRef>
          </c:yVal>
          <c:smooth val="1"/>
        </c:ser>
        <c:dLbls/>
        <c:axId val="124495360"/>
        <c:axId val="124497280"/>
      </c:scatterChart>
      <c:valAx>
        <c:axId val="124495360"/>
        <c:scaling>
          <c:orientation val="minMax"/>
          <c:max val="30"/>
          <c:min val="-20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33395176564467921"/>
              <c:y val="0.9293116221918043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497280"/>
        <c:crosses val="autoZero"/>
        <c:crossBetween val="midCat"/>
        <c:majorUnit val="5"/>
        <c:minorUnit val="1"/>
      </c:valAx>
      <c:valAx>
        <c:axId val="124497280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Wassergehalt [g/m³]</a:t>
                </a:r>
              </a:p>
            </c:rich>
          </c:tx>
          <c:layout>
            <c:manualLayout>
              <c:xMode val="edge"/>
              <c:yMode val="edge"/>
              <c:x val="0.92393330641362148"/>
              <c:y val="0.37069018481123595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495360"/>
        <c:crossesAt val="30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987078538259641E-2"/>
          <c:y val="1.2068973306047587E-2"/>
          <c:w val="0.96474959860786635"/>
          <c:h val="9.31035728967613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trlProps/ctrlProp1.xml><?xml version="1.0" encoding="utf-8"?>
<formControlPr xmlns="http://schemas.microsoft.com/office/spreadsheetml/2009/9/main" objectType="Scroll" dx="16" fmlaLink="$R$26" horiz="1" max="400" page="10" val="120"/>
</file>

<file path=xl/ctrlProps/ctrlProp10.xml><?xml version="1.0" encoding="utf-8"?>
<formControlPr xmlns="http://schemas.microsoft.com/office/spreadsheetml/2009/9/main" objectType="Scroll" dx="16" fmlaLink="$R$18" horiz="1" max="400" page="10" val="80"/>
</file>

<file path=xl/ctrlProps/ctrlProp11.xml><?xml version="1.0" encoding="utf-8"?>
<formControlPr xmlns="http://schemas.microsoft.com/office/spreadsheetml/2009/9/main" objectType="CheckBox" checked="Checked" fmlaLink="$R$4" lockText="1"/>
</file>

<file path=xl/ctrlProps/ctrlProp12.xml><?xml version="1.0" encoding="utf-8"?>
<formControlPr xmlns="http://schemas.microsoft.com/office/spreadsheetml/2009/9/main" objectType="CheckBox" checked="Checked" fmlaLink="$R$2" lockText="1"/>
</file>

<file path=xl/ctrlProps/ctrlProp13.xml><?xml version="1.0" encoding="utf-8"?>
<formControlPr xmlns="http://schemas.microsoft.com/office/spreadsheetml/2009/9/main" objectType="Scroll" dx="16" fmlaLink="$R$26" horiz="1" max="400" page="10" val="120"/>
</file>

<file path=xl/ctrlProps/ctrlProp14.xml><?xml version="1.0" encoding="utf-8"?>
<formControlPr xmlns="http://schemas.microsoft.com/office/spreadsheetml/2009/9/main" objectType="CheckBox" fmlaLink="$R$24" lockText="1"/>
</file>

<file path=xl/ctrlProps/ctrlProp15.xml><?xml version="1.0" encoding="utf-8"?>
<formControlPr xmlns="http://schemas.microsoft.com/office/spreadsheetml/2009/9/main" objectType="CheckBox" fmlaLink="$R$16" lockText="1"/>
</file>

<file path=xl/ctrlProps/ctrlProp16.xml><?xml version="1.0" encoding="utf-8"?>
<formControlPr xmlns="http://schemas.microsoft.com/office/spreadsheetml/2009/9/main" objectType="Scroll" dx="16" fmlaLink="$R$18" horiz="1" max="400" page="10" val="80"/>
</file>

<file path=xl/ctrlProps/ctrlProp17.xml><?xml version="1.0" encoding="utf-8"?>
<formControlPr xmlns="http://schemas.microsoft.com/office/spreadsheetml/2009/9/main" objectType="CheckBox" checked="Checked" fmlaLink="$R$4" lockText="1"/>
</file>

<file path=xl/ctrlProps/ctrlProp18.xml><?xml version="1.0" encoding="utf-8"?>
<formControlPr xmlns="http://schemas.microsoft.com/office/spreadsheetml/2009/9/main" objectType="CheckBox" checked="Checked" fmlaLink="$R$2" lockText="1"/>
</file>

<file path=xl/ctrlProps/ctrlProp2.xml><?xml version="1.0" encoding="utf-8"?>
<formControlPr xmlns="http://schemas.microsoft.com/office/spreadsheetml/2009/9/main" objectType="CheckBox" fmlaLink="$R$24" lockText="1"/>
</file>

<file path=xl/ctrlProps/ctrlProp3.xml><?xml version="1.0" encoding="utf-8"?>
<formControlPr xmlns="http://schemas.microsoft.com/office/spreadsheetml/2009/9/main" objectType="CheckBox" fmlaLink="$R$16" lockText="1"/>
</file>

<file path=xl/ctrlProps/ctrlProp4.xml><?xml version="1.0" encoding="utf-8"?>
<formControlPr xmlns="http://schemas.microsoft.com/office/spreadsheetml/2009/9/main" objectType="Scroll" dx="16" fmlaLink="$R$18" horiz="1" max="400" page="10" val="80"/>
</file>

<file path=xl/ctrlProps/ctrlProp5.xml><?xml version="1.0" encoding="utf-8"?>
<formControlPr xmlns="http://schemas.microsoft.com/office/spreadsheetml/2009/9/main" objectType="CheckBox" checked="Checked" fmlaLink="$R$4" lockText="1"/>
</file>

<file path=xl/ctrlProps/ctrlProp6.xml><?xml version="1.0" encoding="utf-8"?>
<formControlPr xmlns="http://schemas.microsoft.com/office/spreadsheetml/2009/9/main" objectType="CheckBox" checked="Checked" fmlaLink="$R$2" lockText="1"/>
</file>

<file path=xl/ctrlProps/ctrlProp7.xml><?xml version="1.0" encoding="utf-8"?>
<formControlPr xmlns="http://schemas.microsoft.com/office/spreadsheetml/2009/9/main" objectType="Scroll" dx="16" fmlaLink="$R$26" horiz="1" max="400" page="10" val="120"/>
</file>

<file path=xl/ctrlProps/ctrlProp8.xml><?xml version="1.0" encoding="utf-8"?>
<formControlPr xmlns="http://schemas.microsoft.com/office/spreadsheetml/2009/9/main" objectType="CheckBox" fmlaLink="$R$24" lockText="1"/>
</file>

<file path=xl/ctrlProps/ctrlProp9.xml><?xml version="1.0" encoding="utf-8"?>
<formControlPr xmlns="http://schemas.microsoft.com/office/spreadsheetml/2009/9/main" objectType="CheckBox" fmlaLink="$R$16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449580</xdr:colOff>
      <xdr:row>83</xdr:row>
      <xdr:rowOff>0</xdr:rowOff>
    </xdr:from>
    <xdr:to>
      <xdr:col>22</xdr:col>
      <xdr:colOff>0</xdr:colOff>
      <xdr:row>83</xdr:row>
      <xdr:rowOff>0</xdr:rowOff>
    </xdr:to>
    <xdr:sp macro="" textlink="">
      <xdr:nvSpPr>
        <xdr:cNvPr id="352270" name="Rectangle 6"/>
        <xdr:cNvSpPr>
          <a:spLocks noChangeArrowheads="1"/>
        </xdr:cNvSpPr>
      </xdr:nvSpPr>
      <xdr:spPr bwMode="auto">
        <a:xfrm>
          <a:off x="12542520" y="14546580"/>
          <a:ext cx="15240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106680</xdr:colOff>
      <xdr:row>4</xdr:row>
      <xdr:rowOff>99060</xdr:rowOff>
    </xdr:from>
    <xdr:to>
      <xdr:col>15</xdr:col>
      <xdr:colOff>487680</xdr:colOff>
      <xdr:row>33</xdr:row>
      <xdr:rowOff>76200</xdr:rowOff>
    </xdr:to>
    <xdr:grpSp>
      <xdr:nvGrpSpPr>
        <xdr:cNvPr id="352271" name="Gruppieren 2"/>
        <xdr:cNvGrpSpPr>
          <a:grpSpLocks/>
        </xdr:cNvGrpSpPr>
      </xdr:nvGrpSpPr>
      <xdr:grpSpPr bwMode="auto">
        <a:xfrm>
          <a:off x="5680486" y="798307"/>
          <a:ext cx="4294094" cy="5046681"/>
          <a:chOff x="5181600" y="800100"/>
          <a:chExt cx="3947160" cy="5059680"/>
        </a:xfrm>
      </xdr:grpSpPr>
      <xdr:graphicFrame macro="">
        <xdr:nvGraphicFramePr>
          <xdr:cNvPr id="352275" name="Diagramm 2"/>
          <xdr:cNvGraphicFramePr>
            <a:graphicFrameLocks/>
          </xdr:cNvGraphicFramePr>
        </xdr:nvGraphicFramePr>
        <xdr:xfrm>
          <a:off x="5181600" y="800100"/>
          <a:ext cx="3947160" cy="5059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52276" name="Rectangle 19"/>
          <xdr:cNvSpPr>
            <a:spLocks noChangeArrowheads="1"/>
          </xdr:cNvSpPr>
        </xdr:nvSpPr>
        <xdr:spPr bwMode="auto">
          <a:xfrm>
            <a:off x="5250180" y="5280660"/>
            <a:ext cx="281940" cy="22098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  <a:ext uri="{53640926-AAD7-44D8-BBD7-CCE9431645EC}">
              <a14:shadowObscured xmlns:a14="http://schemas.microsoft.com/office/drawing/2010/main" xmlns="" val="1"/>
            </a:ext>
          </a:extLst>
        </xdr:spPr>
      </xdr:sp>
    </xdr:grpSp>
    <xdr:clientData/>
  </xdr:twoCellAnchor>
  <xdr:twoCellAnchor>
    <xdr:from>
      <xdr:col>8</xdr:col>
      <xdr:colOff>342900</xdr:colOff>
      <xdr:row>42</xdr:row>
      <xdr:rowOff>0</xdr:rowOff>
    </xdr:from>
    <xdr:to>
      <xdr:col>8</xdr:col>
      <xdr:colOff>342900</xdr:colOff>
      <xdr:row>74</xdr:row>
      <xdr:rowOff>0</xdr:rowOff>
    </xdr:to>
    <xdr:sp macro="" textlink="">
      <xdr:nvSpPr>
        <xdr:cNvPr id="352272" name="Line 27"/>
        <xdr:cNvSpPr>
          <a:spLocks noChangeShapeType="1"/>
        </xdr:cNvSpPr>
      </xdr:nvSpPr>
      <xdr:spPr bwMode="auto">
        <a:xfrm flipH="1">
          <a:off x="4884420" y="7360920"/>
          <a:ext cx="0" cy="5608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45</xdr:row>
      <xdr:rowOff>106680</xdr:rowOff>
    </xdr:from>
    <xdr:to>
      <xdr:col>8</xdr:col>
      <xdr:colOff>182880</xdr:colOff>
      <xdr:row>70</xdr:row>
      <xdr:rowOff>152400</xdr:rowOff>
    </xdr:to>
    <xdr:graphicFrame macro="">
      <xdr:nvGraphicFramePr>
        <xdr:cNvPr id="35227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502920</xdr:colOff>
      <xdr:row>45</xdr:row>
      <xdr:rowOff>106680</xdr:rowOff>
    </xdr:from>
    <xdr:to>
      <xdr:col>15</xdr:col>
      <xdr:colOff>449580</xdr:colOff>
      <xdr:row>70</xdr:row>
      <xdr:rowOff>152400</xdr:rowOff>
    </xdr:to>
    <xdr:graphicFrame macro="">
      <xdr:nvGraphicFramePr>
        <xdr:cNvPr id="352274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449580</xdr:colOff>
      <xdr:row>83</xdr:row>
      <xdr:rowOff>0</xdr:rowOff>
    </xdr:from>
    <xdr:to>
      <xdr:col>22</xdr:col>
      <xdr:colOff>0</xdr:colOff>
      <xdr:row>83</xdr:row>
      <xdr:rowOff>0</xdr:rowOff>
    </xdr:to>
    <xdr:sp macro="" textlink="">
      <xdr:nvSpPr>
        <xdr:cNvPr id="351246" name="Rectangle 6"/>
        <xdr:cNvSpPr>
          <a:spLocks noChangeArrowheads="1"/>
        </xdr:cNvSpPr>
      </xdr:nvSpPr>
      <xdr:spPr bwMode="auto">
        <a:xfrm>
          <a:off x="12542520" y="14546580"/>
          <a:ext cx="15240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106680</xdr:colOff>
      <xdr:row>4</xdr:row>
      <xdr:rowOff>99060</xdr:rowOff>
    </xdr:from>
    <xdr:to>
      <xdr:col>15</xdr:col>
      <xdr:colOff>487680</xdr:colOff>
      <xdr:row>33</xdr:row>
      <xdr:rowOff>76200</xdr:rowOff>
    </xdr:to>
    <xdr:grpSp>
      <xdr:nvGrpSpPr>
        <xdr:cNvPr id="351247" name="Gruppieren 2"/>
        <xdr:cNvGrpSpPr>
          <a:grpSpLocks/>
        </xdr:cNvGrpSpPr>
      </xdr:nvGrpSpPr>
      <xdr:grpSpPr bwMode="auto">
        <a:xfrm>
          <a:off x="5680486" y="798307"/>
          <a:ext cx="4294094" cy="5046681"/>
          <a:chOff x="5181600" y="800100"/>
          <a:chExt cx="3947160" cy="5059680"/>
        </a:xfrm>
      </xdr:grpSpPr>
      <xdr:graphicFrame macro="">
        <xdr:nvGraphicFramePr>
          <xdr:cNvPr id="351251" name="Diagramm 2"/>
          <xdr:cNvGraphicFramePr>
            <a:graphicFrameLocks/>
          </xdr:cNvGraphicFramePr>
        </xdr:nvGraphicFramePr>
        <xdr:xfrm>
          <a:off x="5181600" y="800100"/>
          <a:ext cx="3947160" cy="5059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51252" name="Rectangle 19"/>
          <xdr:cNvSpPr>
            <a:spLocks noChangeArrowheads="1"/>
          </xdr:cNvSpPr>
        </xdr:nvSpPr>
        <xdr:spPr bwMode="auto">
          <a:xfrm>
            <a:off x="5250180" y="5280660"/>
            <a:ext cx="281940" cy="22098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  <a:ext uri="{53640926-AAD7-44D8-BBD7-CCE9431645EC}">
              <a14:shadowObscured xmlns:a14="http://schemas.microsoft.com/office/drawing/2010/main" xmlns="" val="1"/>
            </a:ext>
          </a:extLst>
        </xdr:spPr>
      </xdr:sp>
    </xdr:grpSp>
    <xdr:clientData/>
  </xdr:twoCellAnchor>
  <xdr:twoCellAnchor>
    <xdr:from>
      <xdr:col>8</xdr:col>
      <xdr:colOff>342900</xdr:colOff>
      <xdr:row>42</xdr:row>
      <xdr:rowOff>0</xdr:rowOff>
    </xdr:from>
    <xdr:to>
      <xdr:col>8</xdr:col>
      <xdr:colOff>342900</xdr:colOff>
      <xdr:row>74</xdr:row>
      <xdr:rowOff>0</xdr:rowOff>
    </xdr:to>
    <xdr:sp macro="" textlink="">
      <xdr:nvSpPr>
        <xdr:cNvPr id="351248" name="Line 27"/>
        <xdr:cNvSpPr>
          <a:spLocks noChangeShapeType="1"/>
        </xdr:cNvSpPr>
      </xdr:nvSpPr>
      <xdr:spPr bwMode="auto">
        <a:xfrm flipH="1">
          <a:off x="4884420" y="7360920"/>
          <a:ext cx="0" cy="5608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45</xdr:row>
      <xdr:rowOff>106680</xdr:rowOff>
    </xdr:from>
    <xdr:to>
      <xdr:col>8</xdr:col>
      <xdr:colOff>182880</xdr:colOff>
      <xdr:row>70</xdr:row>
      <xdr:rowOff>152400</xdr:rowOff>
    </xdr:to>
    <xdr:graphicFrame macro="">
      <xdr:nvGraphicFramePr>
        <xdr:cNvPr id="351249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502920</xdr:colOff>
      <xdr:row>45</xdr:row>
      <xdr:rowOff>106680</xdr:rowOff>
    </xdr:from>
    <xdr:to>
      <xdr:col>15</xdr:col>
      <xdr:colOff>449580</xdr:colOff>
      <xdr:row>70</xdr:row>
      <xdr:rowOff>152400</xdr:rowOff>
    </xdr:to>
    <xdr:graphicFrame macro="">
      <xdr:nvGraphicFramePr>
        <xdr:cNvPr id="351250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449580</xdr:colOff>
      <xdr:row>83</xdr:row>
      <xdr:rowOff>0</xdr:rowOff>
    </xdr:from>
    <xdr:to>
      <xdr:col>22</xdr:col>
      <xdr:colOff>0</xdr:colOff>
      <xdr:row>83</xdr:row>
      <xdr:rowOff>0</xdr:rowOff>
    </xdr:to>
    <xdr:sp macro="" textlink="">
      <xdr:nvSpPr>
        <xdr:cNvPr id="333873" name="Rectangle 6"/>
        <xdr:cNvSpPr>
          <a:spLocks noChangeArrowheads="1"/>
        </xdr:cNvSpPr>
      </xdr:nvSpPr>
      <xdr:spPr bwMode="auto">
        <a:xfrm>
          <a:off x="12542520" y="14546580"/>
          <a:ext cx="15240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106680</xdr:colOff>
      <xdr:row>4</xdr:row>
      <xdr:rowOff>99060</xdr:rowOff>
    </xdr:from>
    <xdr:to>
      <xdr:col>15</xdr:col>
      <xdr:colOff>487680</xdr:colOff>
      <xdr:row>33</xdr:row>
      <xdr:rowOff>76200</xdr:rowOff>
    </xdr:to>
    <xdr:grpSp>
      <xdr:nvGrpSpPr>
        <xdr:cNvPr id="333874" name="Gruppieren 2"/>
        <xdr:cNvGrpSpPr>
          <a:grpSpLocks/>
        </xdr:cNvGrpSpPr>
      </xdr:nvGrpSpPr>
      <xdr:grpSpPr bwMode="auto">
        <a:xfrm>
          <a:off x="5680486" y="798307"/>
          <a:ext cx="4294094" cy="5046681"/>
          <a:chOff x="5181600" y="800100"/>
          <a:chExt cx="3947160" cy="5059680"/>
        </a:xfrm>
      </xdr:grpSpPr>
      <xdr:graphicFrame macro="">
        <xdr:nvGraphicFramePr>
          <xdr:cNvPr id="333878" name="Diagramm 2"/>
          <xdr:cNvGraphicFramePr>
            <a:graphicFrameLocks/>
          </xdr:cNvGraphicFramePr>
        </xdr:nvGraphicFramePr>
        <xdr:xfrm>
          <a:off x="5181600" y="800100"/>
          <a:ext cx="3947160" cy="5059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33879" name="Rectangle 19"/>
          <xdr:cNvSpPr>
            <a:spLocks noChangeArrowheads="1"/>
          </xdr:cNvSpPr>
        </xdr:nvSpPr>
        <xdr:spPr bwMode="auto">
          <a:xfrm>
            <a:off x="5250180" y="5280660"/>
            <a:ext cx="281940" cy="22098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  <a:ext uri="{53640926-AAD7-44D8-BBD7-CCE9431645EC}">
              <a14:shadowObscured xmlns:a14="http://schemas.microsoft.com/office/drawing/2010/main" xmlns="" val="1"/>
            </a:ext>
          </a:extLst>
        </xdr:spPr>
      </xdr:sp>
    </xdr:grpSp>
    <xdr:clientData/>
  </xdr:twoCellAnchor>
  <xdr:twoCellAnchor>
    <xdr:from>
      <xdr:col>8</xdr:col>
      <xdr:colOff>342900</xdr:colOff>
      <xdr:row>42</xdr:row>
      <xdr:rowOff>0</xdr:rowOff>
    </xdr:from>
    <xdr:to>
      <xdr:col>8</xdr:col>
      <xdr:colOff>342900</xdr:colOff>
      <xdr:row>74</xdr:row>
      <xdr:rowOff>0</xdr:rowOff>
    </xdr:to>
    <xdr:sp macro="" textlink="">
      <xdr:nvSpPr>
        <xdr:cNvPr id="333875" name="Line 27"/>
        <xdr:cNvSpPr>
          <a:spLocks noChangeShapeType="1"/>
        </xdr:cNvSpPr>
      </xdr:nvSpPr>
      <xdr:spPr bwMode="auto">
        <a:xfrm flipH="1">
          <a:off x="4884420" y="7360920"/>
          <a:ext cx="0" cy="5608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45</xdr:row>
      <xdr:rowOff>106680</xdr:rowOff>
    </xdr:from>
    <xdr:to>
      <xdr:col>8</xdr:col>
      <xdr:colOff>182880</xdr:colOff>
      <xdr:row>70</xdr:row>
      <xdr:rowOff>152400</xdr:rowOff>
    </xdr:to>
    <xdr:graphicFrame macro="">
      <xdr:nvGraphicFramePr>
        <xdr:cNvPr id="333876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502920</xdr:colOff>
      <xdr:row>45</xdr:row>
      <xdr:rowOff>106680</xdr:rowOff>
    </xdr:from>
    <xdr:to>
      <xdr:col>15</xdr:col>
      <xdr:colOff>449580</xdr:colOff>
      <xdr:row>70</xdr:row>
      <xdr:rowOff>152400</xdr:rowOff>
    </xdr:to>
    <xdr:graphicFrame macro="">
      <xdr:nvGraphicFramePr>
        <xdr:cNvPr id="333877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41</xdr:row>
      <xdr:rowOff>0</xdr:rowOff>
    </xdr:from>
    <xdr:to>
      <xdr:col>12</xdr:col>
      <xdr:colOff>0</xdr:colOff>
      <xdr:row>63</xdr:row>
      <xdr:rowOff>0</xdr:rowOff>
    </xdr:to>
    <xdr:pic>
      <xdr:nvPicPr>
        <xdr:cNvPr id="334909" name="Picture 14" descr="Hygrome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" r="8"/>
        <a:stretch>
          <a:fillRect/>
        </a:stretch>
      </xdr:blipFill>
      <xdr:spPr bwMode="auto">
        <a:xfrm>
          <a:off x="2628900" y="8122920"/>
          <a:ext cx="4160520" cy="435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502920</xdr:colOff>
      <xdr:row>45</xdr:row>
      <xdr:rowOff>45720</xdr:rowOff>
    </xdr:from>
    <xdr:to>
      <xdr:col>8</xdr:col>
      <xdr:colOff>586740</xdr:colOff>
      <xdr:row>45</xdr:row>
      <xdr:rowOff>45720</xdr:rowOff>
    </xdr:to>
    <xdr:sp macro="" textlink="">
      <xdr:nvSpPr>
        <xdr:cNvPr id="334910" name="Line 8"/>
        <xdr:cNvSpPr>
          <a:spLocks noChangeShapeType="1"/>
        </xdr:cNvSpPr>
      </xdr:nvSpPr>
      <xdr:spPr bwMode="auto">
        <a:xfrm flipV="1">
          <a:off x="4320540" y="8961120"/>
          <a:ext cx="678180" cy="0"/>
        </a:xfrm>
        <a:prstGeom prst="line">
          <a:avLst/>
        </a:prstGeom>
        <a:noFill/>
        <a:ln w="76200">
          <a:solidFill>
            <a:srgbClr val="F6F000"/>
          </a:solidFill>
          <a:round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6</xdr:col>
      <xdr:colOff>441960</xdr:colOff>
      <xdr:row>45</xdr:row>
      <xdr:rowOff>83820</xdr:rowOff>
    </xdr:from>
    <xdr:to>
      <xdr:col>7</xdr:col>
      <xdr:colOff>358140</xdr:colOff>
      <xdr:row>46</xdr:row>
      <xdr:rowOff>182880</xdr:rowOff>
    </xdr:to>
    <xdr:sp macro="" textlink="">
      <xdr:nvSpPr>
        <xdr:cNvPr id="334911" name="Line 9"/>
        <xdr:cNvSpPr>
          <a:spLocks noChangeShapeType="1"/>
        </xdr:cNvSpPr>
      </xdr:nvSpPr>
      <xdr:spPr bwMode="auto">
        <a:xfrm flipH="1">
          <a:off x="3665220" y="8999220"/>
          <a:ext cx="510540" cy="29718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137160</xdr:colOff>
      <xdr:row>45</xdr:row>
      <xdr:rowOff>76200</xdr:rowOff>
    </xdr:from>
    <xdr:to>
      <xdr:col>10</xdr:col>
      <xdr:colOff>76200</xdr:colOff>
      <xdr:row>46</xdr:row>
      <xdr:rowOff>144780</xdr:rowOff>
    </xdr:to>
    <xdr:sp macro="" textlink="">
      <xdr:nvSpPr>
        <xdr:cNvPr id="334912" name="Line 10"/>
        <xdr:cNvSpPr>
          <a:spLocks noChangeShapeType="1"/>
        </xdr:cNvSpPr>
      </xdr:nvSpPr>
      <xdr:spPr bwMode="auto">
        <a:xfrm flipH="1" flipV="1">
          <a:off x="5143500" y="8991600"/>
          <a:ext cx="533400" cy="266700"/>
        </a:xfrm>
        <a:prstGeom prst="line">
          <a:avLst/>
        </a:prstGeom>
        <a:noFill/>
        <a:ln w="76200">
          <a:solidFill>
            <a:srgbClr val="339966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289803" name="Text Box 11"/>
        <xdr:cNvSpPr txBox="1">
          <a:spLocks noChangeArrowheads="1"/>
        </xdr:cNvSpPr>
      </xdr:nvSpPr>
      <xdr:spPr bwMode="auto">
        <a:xfrm>
          <a:off x="1440180" y="13075920"/>
          <a:ext cx="1783080" cy="79248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Bewohner ist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stäker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gefordert...</a:t>
          </a:r>
        </a:p>
      </xdr:txBody>
    </xdr:sp>
    <xdr:clientData/>
  </xdr:twoCellAnchor>
  <xdr:twoCellAnchor>
    <xdr:from>
      <xdr:col>7</xdr:col>
      <xdr:colOff>0</xdr:colOff>
      <xdr:row>66</xdr:row>
      <xdr:rowOff>0</xdr:rowOff>
    </xdr:from>
    <xdr:to>
      <xdr:col>10</xdr:col>
      <xdr:colOff>0</xdr:colOff>
      <xdr:row>70</xdr:row>
      <xdr:rowOff>0</xdr:rowOff>
    </xdr:to>
    <xdr:sp macro="" textlink="">
      <xdr:nvSpPr>
        <xdr:cNvPr id="289804" name="Text Box 12"/>
        <xdr:cNvSpPr txBox="1">
          <a:spLocks noChangeArrowheads="1"/>
        </xdr:cNvSpPr>
      </xdr:nvSpPr>
      <xdr:spPr bwMode="auto">
        <a:xfrm>
          <a:off x="3817620" y="13075920"/>
          <a:ext cx="1783080" cy="7924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Bewohner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ist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gefordert...</a:t>
          </a:r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14</xdr:col>
      <xdr:colOff>0</xdr:colOff>
      <xdr:row>70</xdr:row>
      <xdr:rowOff>0</xdr:rowOff>
    </xdr:to>
    <xdr:sp macro="" textlink="">
      <xdr:nvSpPr>
        <xdr:cNvPr id="289805" name="Text Box 13"/>
        <xdr:cNvSpPr txBox="1">
          <a:spLocks noChangeArrowheads="1"/>
        </xdr:cNvSpPr>
      </xdr:nvSpPr>
      <xdr:spPr bwMode="auto">
        <a:xfrm>
          <a:off x="6195060" y="13075920"/>
          <a:ext cx="1783080" cy="79248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Bewohner ist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nicht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überfordert...</a:t>
          </a:r>
        </a:p>
      </xdr:txBody>
    </xdr:sp>
    <xdr:clientData/>
  </xdr:twoCellAnchor>
  <xdr:twoCellAnchor>
    <xdr:from>
      <xdr:col>7</xdr:col>
      <xdr:colOff>167640</xdr:colOff>
      <xdr:row>19</xdr:row>
      <xdr:rowOff>160020</xdr:rowOff>
    </xdr:from>
    <xdr:to>
      <xdr:col>12</xdr:col>
      <xdr:colOff>0</xdr:colOff>
      <xdr:row>22</xdr:row>
      <xdr:rowOff>0</xdr:rowOff>
    </xdr:to>
    <xdr:sp macro="" textlink="">
      <xdr:nvSpPr>
        <xdr:cNvPr id="334916" name="Rectangle 20"/>
        <xdr:cNvSpPr>
          <a:spLocks noChangeArrowheads="1"/>
        </xdr:cNvSpPr>
      </xdr:nvSpPr>
      <xdr:spPr bwMode="auto">
        <a:xfrm>
          <a:off x="3985260" y="3924300"/>
          <a:ext cx="2804160" cy="43434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10</xdr:col>
      <xdr:colOff>213360</xdr:colOff>
      <xdr:row>203</xdr:row>
      <xdr:rowOff>160020</xdr:rowOff>
    </xdr:from>
    <xdr:to>
      <xdr:col>10</xdr:col>
      <xdr:colOff>213360</xdr:colOff>
      <xdr:row>204</xdr:row>
      <xdr:rowOff>7620</xdr:rowOff>
    </xdr:to>
    <xdr:sp macro="" textlink="">
      <xdr:nvSpPr>
        <xdr:cNvPr id="334917" name="Line 29"/>
        <xdr:cNvSpPr>
          <a:spLocks noChangeShapeType="1"/>
        </xdr:cNvSpPr>
      </xdr:nvSpPr>
      <xdr:spPr bwMode="auto">
        <a:xfrm rot="5400000" flipH="1">
          <a:off x="5791200" y="40401240"/>
          <a:ext cx="45720" cy="0"/>
        </a:xfrm>
        <a:prstGeom prst="line">
          <a:avLst/>
        </a:prstGeom>
        <a:noFill/>
        <a:ln w="317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213360</xdr:colOff>
      <xdr:row>174</xdr:row>
      <xdr:rowOff>160020</xdr:rowOff>
    </xdr:from>
    <xdr:to>
      <xdr:col>7</xdr:col>
      <xdr:colOff>213360</xdr:colOff>
      <xdr:row>175</xdr:row>
      <xdr:rowOff>7620</xdr:rowOff>
    </xdr:to>
    <xdr:sp macro="" textlink="">
      <xdr:nvSpPr>
        <xdr:cNvPr id="334918" name="Line 34"/>
        <xdr:cNvSpPr>
          <a:spLocks noChangeShapeType="1"/>
        </xdr:cNvSpPr>
      </xdr:nvSpPr>
      <xdr:spPr bwMode="auto">
        <a:xfrm rot="5400000" flipH="1">
          <a:off x="4008120" y="34655760"/>
          <a:ext cx="45720" cy="0"/>
        </a:xfrm>
        <a:prstGeom prst="line">
          <a:avLst/>
        </a:prstGeom>
        <a:noFill/>
        <a:ln w="317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8.xml"/><Relationship Id="rId4" Type="http://schemas.openxmlformats.org/officeDocument/2006/relationships/comments" Target="../comments1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6">
    <tabColor theme="7"/>
  </sheetPr>
  <dimension ref="A1:V82"/>
  <sheetViews>
    <sheetView showGridLines="0" showZeros="0" zoomScaleNormal="100" workbookViewId="0"/>
  </sheetViews>
  <sheetFormatPr baseColWidth="10" defaultColWidth="8.81640625" defaultRowHeight="13.9" customHeight="1"/>
  <cols>
    <col min="1" max="1" width="4.81640625" style="63" customWidth="1"/>
    <col min="2" max="16" width="8.81640625" style="63"/>
    <col min="17" max="17" width="4.81640625" style="63" customWidth="1"/>
    <col min="18" max="16384" width="8.81640625" style="63"/>
  </cols>
  <sheetData>
    <row r="1" spans="1:22" ht="13.9" customHeight="1">
      <c r="A1" s="160"/>
      <c r="B1" s="135" t="s">
        <v>117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R1" s="130">
        <f>IF(R2=FALSE,0,1)</f>
        <v>1</v>
      </c>
      <c r="S1" s="84"/>
    </row>
    <row r="2" spans="1:22" ht="13.9" customHeight="1">
      <c r="A2" s="4"/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R2" s="56" t="b">
        <v>1</v>
      </c>
      <c r="S2" s="159" t="s">
        <v>34</v>
      </c>
    </row>
    <row r="3" spans="1:22" ht="13.9" customHeight="1">
      <c r="A3" s="4"/>
      <c r="B3" s="161" t="s">
        <v>121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8"/>
      <c r="P3" s="9" t="s">
        <v>116</v>
      </c>
      <c r="R3" s="130">
        <f>IF(R4=FALSE,0,1)</f>
        <v>1</v>
      </c>
      <c r="S3" s="84"/>
    </row>
    <row r="4" spans="1:22" ht="13.9" customHeight="1">
      <c r="A4" s="4"/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0"/>
      <c r="P4" s="11"/>
      <c r="R4" s="56" t="b">
        <v>1</v>
      </c>
      <c r="S4" s="131" t="s">
        <v>115</v>
      </c>
    </row>
    <row r="5" spans="1:22" ht="13.9" customHeight="1">
      <c r="A5" s="4"/>
      <c r="B5" s="12"/>
      <c r="C5" s="13"/>
      <c r="D5" s="13" t="s">
        <v>30</v>
      </c>
      <c r="E5" s="13" t="s">
        <v>0</v>
      </c>
      <c r="F5" s="14" t="s">
        <v>1</v>
      </c>
      <c r="G5" s="13" t="s">
        <v>33</v>
      </c>
      <c r="H5" s="13" t="s">
        <v>31</v>
      </c>
      <c r="I5" s="13" t="s">
        <v>35</v>
      </c>
      <c r="J5" s="64"/>
      <c r="K5" s="65"/>
      <c r="L5" s="65"/>
      <c r="M5" s="65"/>
      <c r="N5" s="65"/>
      <c r="O5" s="65"/>
      <c r="P5" s="66"/>
    </row>
    <row r="6" spans="1:22" ht="13.9" customHeight="1">
      <c r="A6" s="4"/>
      <c r="B6" s="12"/>
      <c r="C6" s="13"/>
      <c r="D6" s="16" t="s">
        <v>3</v>
      </c>
      <c r="E6" s="16" t="s">
        <v>2</v>
      </c>
      <c r="F6" s="16" t="s">
        <v>120</v>
      </c>
      <c r="G6" s="16" t="s">
        <v>3</v>
      </c>
      <c r="H6" s="13" t="s">
        <v>12</v>
      </c>
      <c r="I6" s="13" t="s">
        <v>11</v>
      </c>
      <c r="J6" s="67"/>
      <c r="K6" s="68"/>
      <c r="L6" s="69"/>
      <c r="M6" s="70"/>
      <c r="N6" s="70"/>
      <c r="O6" s="60">
        <v>0.75</v>
      </c>
      <c r="P6" s="71"/>
    </row>
    <row r="7" spans="1:22" ht="13.9" customHeight="1">
      <c r="A7" s="4"/>
      <c r="B7" s="12" t="s">
        <v>32</v>
      </c>
      <c r="C7" s="13"/>
      <c r="D7" s="16"/>
      <c r="E7" s="16"/>
      <c r="F7" s="16"/>
      <c r="G7" s="16"/>
      <c r="H7" s="13"/>
      <c r="I7" s="13"/>
      <c r="J7" s="67"/>
      <c r="K7" s="68"/>
      <c r="L7" s="69"/>
      <c r="M7" s="70"/>
      <c r="N7" s="70"/>
      <c r="O7" s="70"/>
      <c r="P7" s="71"/>
    </row>
    <row r="8" spans="1:22" ht="13.9" customHeight="1">
      <c r="A8" s="4"/>
      <c r="B8" s="12"/>
      <c r="C8" s="16"/>
      <c r="D8" s="16"/>
      <c r="E8" s="16"/>
      <c r="F8" s="16"/>
      <c r="G8" s="16"/>
      <c r="H8" s="17" t="s">
        <v>10</v>
      </c>
      <c r="I8" s="5">
        <v>20</v>
      </c>
      <c r="J8" s="58">
        <v>-0.12</v>
      </c>
      <c r="K8" s="61"/>
      <c r="L8" s="60">
        <f>I8</f>
        <v>20</v>
      </c>
      <c r="M8" s="46"/>
      <c r="N8" s="46"/>
      <c r="O8" s="72">
        <f>L8</f>
        <v>20</v>
      </c>
      <c r="P8" s="73">
        <f>J8</f>
        <v>-0.12</v>
      </c>
    </row>
    <row r="9" spans="1:22" ht="13.9" customHeight="1">
      <c r="A9" s="4"/>
      <c r="B9" s="12" t="s">
        <v>6</v>
      </c>
      <c r="C9" s="19"/>
      <c r="D9" s="16"/>
      <c r="E9" s="16"/>
      <c r="F9" s="17" t="s">
        <v>5</v>
      </c>
      <c r="G9" s="6">
        <v>0.25</v>
      </c>
      <c r="H9" s="20">
        <f>IF(G$33&gt;0,G9/G$33,0)</f>
        <v>0.31227969686288332</v>
      </c>
      <c r="I9" s="18"/>
      <c r="J9" s="58">
        <f>E9</f>
        <v>0</v>
      </c>
      <c r="K9" s="61">
        <v>28</v>
      </c>
      <c r="L9" s="60">
        <f>L10</f>
        <v>12.193007578427917</v>
      </c>
      <c r="M9" s="62">
        <f t="shared" ref="M9:M28" si="0">$K$9</f>
        <v>28</v>
      </c>
      <c r="N9" s="61">
        <f t="shared" ref="N9:N28" si="1">$K$10</f>
        <v>-18</v>
      </c>
      <c r="O9" s="72">
        <f>L9+(L8-L9)*O6</f>
        <v>18.048251894606977</v>
      </c>
      <c r="P9" s="73">
        <f>P8-(P8*O6)</f>
        <v>-0.03</v>
      </c>
      <c r="R9" s="63" t="s">
        <v>118</v>
      </c>
    </row>
    <row r="10" spans="1:22" ht="13.9" customHeight="1">
      <c r="A10" s="4"/>
      <c r="B10" s="12"/>
      <c r="C10" s="15"/>
      <c r="D10" s="15"/>
      <c r="E10" s="15"/>
      <c r="F10" s="15"/>
      <c r="G10" s="15"/>
      <c r="H10" s="21"/>
      <c r="I10" s="7">
        <f>I$8-SUM(H$9:H10)*I$33</f>
        <v>12.193007578427917</v>
      </c>
      <c r="J10" s="59">
        <f>J9</f>
        <v>0</v>
      </c>
      <c r="K10" s="61">
        <v>-18</v>
      </c>
      <c r="L10" s="60">
        <f>I10</f>
        <v>12.193007578427917</v>
      </c>
      <c r="M10" s="62">
        <f t="shared" si="0"/>
        <v>28</v>
      </c>
      <c r="N10" s="61">
        <f t="shared" si="1"/>
        <v>-18</v>
      </c>
      <c r="O10" s="72">
        <f t="shared" ref="O10:O28" si="2">L10</f>
        <v>12.193007578427917</v>
      </c>
      <c r="P10" s="73">
        <f>J10</f>
        <v>0</v>
      </c>
    </row>
    <row r="11" spans="1:22" ht="13.9" customHeight="1">
      <c r="A11" s="51"/>
      <c r="B11" s="132">
        <f>IF($R$15=1,"Gipskarton",0)</f>
        <v>0</v>
      </c>
      <c r="C11" s="133"/>
      <c r="D11" s="6"/>
      <c r="E11" s="6">
        <f>IF($R$15=1,0.012,0)</f>
        <v>0</v>
      </c>
      <c r="F11" s="6">
        <f>IF($R$15=1,0.21,0)</f>
        <v>0</v>
      </c>
      <c r="G11" s="16">
        <f>IF(D11&gt;0,D11,IF(F11&gt;0,E11/F11,0))</f>
        <v>0</v>
      </c>
      <c r="H11" s="20">
        <f>IF(G$33&gt;0,G11/G$33,0)</f>
        <v>0</v>
      </c>
      <c r="I11" s="7"/>
      <c r="J11" s="58">
        <f>E11+J9</f>
        <v>0</v>
      </c>
      <c r="K11" s="61">
        <f>$K$10</f>
        <v>-18</v>
      </c>
      <c r="L11" s="60">
        <f>L12</f>
        <v>12.193007578427917</v>
      </c>
      <c r="M11" s="62">
        <f t="shared" si="0"/>
        <v>28</v>
      </c>
      <c r="N11" s="61">
        <f t="shared" si="1"/>
        <v>-18</v>
      </c>
      <c r="O11" s="72">
        <f t="shared" si="2"/>
        <v>12.193007578427917</v>
      </c>
      <c r="P11" s="73"/>
    </row>
    <row r="12" spans="1:22" ht="13.9" customHeight="1">
      <c r="A12" s="51"/>
      <c r="B12" s="74"/>
      <c r="C12" s="75"/>
      <c r="D12" s="75"/>
      <c r="E12" s="75"/>
      <c r="F12" s="75"/>
      <c r="G12" s="22"/>
      <c r="H12" s="15"/>
      <c r="I12" s="7">
        <f>I$8-SUM(H$9:H12)*I$33</f>
        <v>12.193007578427917</v>
      </c>
      <c r="J12" s="59">
        <f>J11</f>
        <v>0</v>
      </c>
      <c r="K12" s="61">
        <f>$K$9</f>
        <v>28</v>
      </c>
      <c r="L12" s="60">
        <f>I12</f>
        <v>12.193007578427917</v>
      </c>
      <c r="M12" s="62">
        <f t="shared" si="0"/>
        <v>28</v>
      </c>
      <c r="N12" s="61">
        <f t="shared" si="1"/>
        <v>-18</v>
      </c>
      <c r="O12" s="72">
        <f t="shared" si="2"/>
        <v>12.193007578427917</v>
      </c>
      <c r="P12" s="73"/>
      <c r="R12" s="117"/>
      <c r="S12" s="119" t="s">
        <v>38</v>
      </c>
      <c r="U12" s="119"/>
      <c r="V12" s="119" t="s">
        <v>130</v>
      </c>
    </row>
    <row r="13" spans="1:22" ht="13.9" customHeight="1">
      <c r="A13" s="51"/>
      <c r="B13" s="132">
        <f>IF($R$15=1,"Dämmung",0)</f>
        <v>0</v>
      </c>
      <c r="C13" s="133"/>
      <c r="D13" s="6"/>
      <c r="E13" s="6">
        <f>IF($R$15=1,R$18/1000,0)</f>
        <v>0</v>
      </c>
      <c r="F13" s="6">
        <f>IF($R$15=1,U16,0)</f>
        <v>0</v>
      </c>
      <c r="G13" s="16">
        <f>IF(D13&gt;0,D13,IF(F13&gt;0,E13/F13,0))</f>
        <v>0</v>
      </c>
      <c r="H13" s="20">
        <f>IF(G$33&gt;0,G13/G$33,0)</f>
        <v>0</v>
      </c>
      <c r="I13" s="7"/>
      <c r="J13" s="58">
        <f>E13+J11</f>
        <v>0</v>
      </c>
      <c r="K13" s="61">
        <f>$K$9</f>
        <v>28</v>
      </c>
      <c r="L13" s="60">
        <f>L14</f>
        <v>12.193007578427917</v>
      </c>
      <c r="M13" s="62">
        <f t="shared" si="0"/>
        <v>28</v>
      </c>
      <c r="N13" s="61">
        <f t="shared" si="1"/>
        <v>-18</v>
      </c>
      <c r="O13" s="72">
        <f t="shared" si="2"/>
        <v>12.193007578427917</v>
      </c>
      <c r="P13" s="73"/>
      <c r="R13" s="93"/>
    </row>
    <row r="14" spans="1:22" ht="13.9" customHeight="1">
      <c r="A14" s="51"/>
      <c r="B14" s="74"/>
      <c r="C14" s="75"/>
      <c r="D14" s="75"/>
      <c r="E14" s="75"/>
      <c r="F14" s="75"/>
      <c r="G14" s="22"/>
      <c r="H14" s="15"/>
      <c r="I14" s="7">
        <f>I$8-SUM(H$9:H14)*I$33</f>
        <v>12.193007578427917</v>
      </c>
      <c r="J14" s="59">
        <f>J13</f>
        <v>0</v>
      </c>
      <c r="K14" s="61">
        <f>$K$10</f>
        <v>-18</v>
      </c>
      <c r="L14" s="60">
        <f>I14</f>
        <v>12.193007578427917</v>
      </c>
      <c r="M14" s="62">
        <f t="shared" si="0"/>
        <v>28</v>
      </c>
      <c r="N14" s="61">
        <f t="shared" si="1"/>
        <v>-18</v>
      </c>
      <c r="O14" s="72">
        <f t="shared" si="2"/>
        <v>12.193007578427917</v>
      </c>
      <c r="P14" s="73"/>
      <c r="R14" s="115"/>
    </row>
    <row r="15" spans="1:22" ht="13.9" customHeight="1">
      <c r="A15" s="51"/>
      <c r="B15" s="132"/>
      <c r="C15" s="133"/>
      <c r="D15" s="6"/>
      <c r="E15" s="6"/>
      <c r="F15" s="6"/>
      <c r="G15" s="16">
        <f>IF(D15&gt;0,D15,IF(F15&gt;0,E15/F15,0))</f>
        <v>0</v>
      </c>
      <c r="H15" s="20">
        <f>IF(G$33&gt;0,G15/G$33,0)</f>
        <v>0</v>
      </c>
      <c r="I15" s="7"/>
      <c r="J15" s="58">
        <f>E15+J13</f>
        <v>0</v>
      </c>
      <c r="K15" s="61">
        <f>$K$10</f>
        <v>-18</v>
      </c>
      <c r="L15" s="60">
        <f>L16</f>
        <v>12.193007578427917</v>
      </c>
      <c r="M15" s="62">
        <f t="shared" si="0"/>
        <v>28</v>
      </c>
      <c r="N15" s="61">
        <f t="shared" si="1"/>
        <v>-18</v>
      </c>
      <c r="O15" s="72">
        <f t="shared" si="2"/>
        <v>12.193007578427917</v>
      </c>
      <c r="P15" s="73"/>
      <c r="R15" s="120">
        <f>IF(R16=FALSE,0,1)</f>
        <v>0</v>
      </c>
      <c r="S15" s="116" t="s">
        <v>55</v>
      </c>
    </row>
    <row r="16" spans="1:22" ht="13.9" customHeight="1">
      <c r="A16" s="51"/>
      <c r="B16" s="74"/>
      <c r="C16" s="75"/>
      <c r="D16" s="75"/>
      <c r="E16" s="75"/>
      <c r="F16" s="75"/>
      <c r="G16" s="22"/>
      <c r="H16" s="15"/>
      <c r="I16" s="7">
        <f>I$8-SUM(H$9:H16)*I$33</f>
        <v>12.193007578427917</v>
      </c>
      <c r="J16" s="59">
        <f>J15</f>
        <v>0</v>
      </c>
      <c r="K16" s="61">
        <f>$K$9</f>
        <v>28</v>
      </c>
      <c r="L16" s="60">
        <f>I16</f>
        <v>12.193007578427917</v>
      </c>
      <c r="M16" s="62">
        <f t="shared" si="0"/>
        <v>28</v>
      </c>
      <c r="N16" s="61">
        <f t="shared" si="1"/>
        <v>-18</v>
      </c>
      <c r="O16" s="72">
        <f t="shared" si="2"/>
        <v>12.193007578427917</v>
      </c>
      <c r="P16" s="73"/>
      <c r="R16" s="56" t="b">
        <v>0</v>
      </c>
      <c r="S16" s="118" t="str">
        <f>R18/10&amp;" cm"</f>
        <v>8 cm</v>
      </c>
      <c r="U16" s="158">
        <v>3.5000000000000003E-2</v>
      </c>
      <c r="V16" s="155" t="s">
        <v>127</v>
      </c>
    </row>
    <row r="17" spans="1:22" ht="13.9" customHeight="1">
      <c r="A17" s="51"/>
      <c r="B17" s="132" t="s">
        <v>7</v>
      </c>
      <c r="C17" s="133"/>
      <c r="D17" s="6"/>
      <c r="E17" s="6">
        <v>1.4999999999999999E-2</v>
      </c>
      <c r="F17" s="157">
        <v>0.7</v>
      </c>
      <c r="G17" s="16">
        <f>IF(D17&gt;0,D17,IF(F17&gt;0,E17/F17,0))</f>
        <v>2.1428571428571429E-2</v>
      </c>
      <c r="H17" s="20">
        <f>IF(G$33&gt;0,G17/G$33,0)</f>
        <v>2.6766831159675711E-2</v>
      </c>
      <c r="I17" s="7"/>
      <c r="J17" s="58">
        <f>E17+J15</f>
        <v>1.4999999999999999E-2</v>
      </c>
      <c r="K17" s="61">
        <f>$K$9</f>
        <v>28</v>
      </c>
      <c r="L17" s="60">
        <f>L18</f>
        <v>11.523836799436024</v>
      </c>
      <c r="M17" s="62">
        <f t="shared" si="0"/>
        <v>28</v>
      </c>
      <c r="N17" s="61">
        <f t="shared" si="1"/>
        <v>-18</v>
      </c>
      <c r="O17" s="72">
        <f t="shared" si="2"/>
        <v>11.523836799436024</v>
      </c>
      <c r="P17" s="73"/>
    </row>
    <row r="18" spans="1:22" ht="13.9" customHeight="1">
      <c r="A18" s="51"/>
      <c r="B18" s="74"/>
      <c r="C18" s="75"/>
      <c r="D18" s="75"/>
      <c r="E18" s="75"/>
      <c r="F18" s="75"/>
      <c r="G18" s="22"/>
      <c r="H18" s="15"/>
      <c r="I18" s="7">
        <f>I$8-SUM(H$9:H18)*I$33</f>
        <v>11.523836799436024</v>
      </c>
      <c r="J18" s="59">
        <f>J17</f>
        <v>1.4999999999999999E-2</v>
      </c>
      <c r="K18" s="61">
        <f>$K$10</f>
        <v>-18</v>
      </c>
      <c r="L18" s="60">
        <f>I18</f>
        <v>11.523836799436024</v>
      </c>
      <c r="M18" s="62">
        <f t="shared" si="0"/>
        <v>28</v>
      </c>
      <c r="N18" s="61">
        <f t="shared" si="1"/>
        <v>-18</v>
      </c>
      <c r="O18" s="72">
        <f t="shared" si="2"/>
        <v>11.523836799436024</v>
      </c>
      <c r="P18" s="73"/>
      <c r="R18" s="56">
        <v>80</v>
      </c>
    </row>
    <row r="19" spans="1:22" ht="13.9" customHeight="1">
      <c r="A19" s="4" t="s">
        <v>15</v>
      </c>
      <c r="B19" s="132" t="s">
        <v>8</v>
      </c>
      <c r="C19" s="133"/>
      <c r="D19" s="6"/>
      <c r="E19" s="6">
        <v>0.38</v>
      </c>
      <c r="F19" s="6">
        <v>0.81</v>
      </c>
      <c r="G19" s="16">
        <f>IF(D19&gt;0,D19,IF(F19&gt;0,E19/F19,0))</f>
        <v>0.46913580246913578</v>
      </c>
      <c r="H19" s="20">
        <f>IF(G$33&gt;0,G19/G$33,0)</f>
        <v>0.58600634473034885</v>
      </c>
      <c r="I19" s="7"/>
      <c r="J19" s="58">
        <f>E19+J17</f>
        <v>0.39500000000000002</v>
      </c>
      <c r="K19" s="61">
        <f>$K$10</f>
        <v>-18</v>
      </c>
      <c r="L19" s="60">
        <f>L20</f>
        <v>-3.1263218188226993</v>
      </c>
      <c r="M19" s="62">
        <f t="shared" si="0"/>
        <v>28</v>
      </c>
      <c r="N19" s="61">
        <f t="shared" si="1"/>
        <v>-18</v>
      </c>
      <c r="O19" s="72">
        <f t="shared" si="2"/>
        <v>-3.1263218188226993</v>
      </c>
      <c r="P19" s="73"/>
    </row>
    <row r="20" spans="1:22" ht="13.9" customHeight="1">
      <c r="A20" s="51"/>
      <c r="B20" s="74"/>
      <c r="C20" s="75"/>
      <c r="D20" s="75"/>
      <c r="E20" s="75"/>
      <c r="F20" s="75"/>
      <c r="G20" s="22"/>
      <c r="H20" s="15"/>
      <c r="I20" s="7">
        <f>I$8-SUM(H$9:H20)*I$33</f>
        <v>-3.1263218188226993</v>
      </c>
      <c r="J20" s="59">
        <f>J19</f>
        <v>0.39500000000000002</v>
      </c>
      <c r="K20" s="61">
        <f>$K$9</f>
        <v>28</v>
      </c>
      <c r="L20" s="60">
        <f>I20</f>
        <v>-3.1263218188226993</v>
      </c>
      <c r="M20" s="62">
        <f t="shared" si="0"/>
        <v>28</v>
      </c>
      <c r="N20" s="61">
        <f t="shared" si="1"/>
        <v>-18</v>
      </c>
      <c r="O20" s="72">
        <f t="shared" si="2"/>
        <v>-3.1263218188226993</v>
      </c>
      <c r="P20" s="73"/>
    </row>
    <row r="21" spans="1:22" ht="13.9" customHeight="1">
      <c r="A21" s="51"/>
      <c r="B21" s="132" t="s">
        <v>57</v>
      </c>
      <c r="C21" s="133"/>
      <c r="D21" s="6"/>
      <c r="E21" s="6">
        <v>0.02</v>
      </c>
      <c r="F21" s="6">
        <v>1</v>
      </c>
      <c r="G21" s="16">
        <f>IF(D21&gt;0,D21,IF(F21&gt;0,E21/F21,0))</f>
        <v>0.02</v>
      </c>
      <c r="H21" s="20">
        <f>IF(G$33&gt;0,G21/G$33,0)</f>
        <v>2.4982375749030665E-2</v>
      </c>
      <c r="I21" s="7"/>
      <c r="J21" s="58">
        <f>E21+J19</f>
        <v>0.41500000000000004</v>
      </c>
      <c r="K21" s="61">
        <f>$K$9</f>
        <v>28</v>
      </c>
      <c r="L21" s="60">
        <f>L22</f>
        <v>-3.7508812125484638</v>
      </c>
      <c r="M21" s="62">
        <f t="shared" si="0"/>
        <v>28</v>
      </c>
      <c r="N21" s="61">
        <f t="shared" si="1"/>
        <v>-18</v>
      </c>
      <c r="O21" s="72">
        <f t="shared" si="2"/>
        <v>-3.7508812125484638</v>
      </c>
      <c r="P21" s="73"/>
    </row>
    <row r="22" spans="1:22" ht="13.9" customHeight="1">
      <c r="A22" s="51"/>
      <c r="B22" s="74"/>
      <c r="C22" s="75"/>
      <c r="D22" s="75"/>
      <c r="E22" s="75"/>
      <c r="F22" s="75"/>
      <c r="G22" s="22"/>
      <c r="H22" s="15"/>
      <c r="I22" s="7">
        <f>I$8-SUM(H$9:H22)*I$33</f>
        <v>-3.7508812125484638</v>
      </c>
      <c r="J22" s="59">
        <f>J21</f>
        <v>0.41500000000000004</v>
      </c>
      <c r="K22" s="61">
        <f>$K$10</f>
        <v>-18</v>
      </c>
      <c r="L22" s="60">
        <f>I22</f>
        <v>-3.7508812125484638</v>
      </c>
      <c r="M22" s="62">
        <f t="shared" si="0"/>
        <v>28</v>
      </c>
      <c r="N22" s="61">
        <f t="shared" si="1"/>
        <v>-18</v>
      </c>
      <c r="O22" s="72">
        <f t="shared" si="2"/>
        <v>-3.7508812125484638</v>
      </c>
      <c r="P22" s="73"/>
      <c r="R22" s="115"/>
    </row>
    <row r="23" spans="1:22" ht="13.9" customHeight="1">
      <c r="A23" s="51"/>
      <c r="B23" s="132"/>
      <c r="C23" s="133"/>
      <c r="D23" s="6"/>
      <c r="E23" s="6"/>
      <c r="F23" s="6"/>
      <c r="G23" s="16">
        <f>IF(D23&gt;0,D23,IF(F23&gt;0,E23/F23,0))</f>
        <v>0</v>
      </c>
      <c r="H23" s="20">
        <f>IF(G$33&gt;0,G23/G$33,0)</f>
        <v>0</v>
      </c>
      <c r="I23" s="7"/>
      <c r="J23" s="58">
        <f>E23+J21</f>
        <v>0.41500000000000004</v>
      </c>
      <c r="K23" s="61">
        <f>$K$10</f>
        <v>-18</v>
      </c>
      <c r="L23" s="60">
        <f>L24</f>
        <v>-3.7508812125484638</v>
      </c>
      <c r="M23" s="62">
        <f t="shared" si="0"/>
        <v>28</v>
      </c>
      <c r="N23" s="61">
        <f t="shared" si="1"/>
        <v>-18</v>
      </c>
      <c r="O23" s="72">
        <f t="shared" si="2"/>
        <v>-3.7508812125484638</v>
      </c>
      <c r="P23" s="73"/>
      <c r="R23" s="120">
        <f>IF(R24=FALSE,0,1)</f>
        <v>0</v>
      </c>
      <c r="S23" s="116" t="s">
        <v>56</v>
      </c>
    </row>
    <row r="24" spans="1:22" ht="13.9" customHeight="1">
      <c r="A24" s="51"/>
      <c r="B24" s="74"/>
      <c r="C24" s="75"/>
      <c r="D24" s="75"/>
      <c r="E24" s="75"/>
      <c r="F24" s="75"/>
      <c r="G24" s="22"/>
      <c r="H24" s="15"/>
      <c r="I24" s="7">
        <f>I$8-SUM(H$9:H24)*I$33</f>
        <v>-3.7508812125484638</v>
      </c>
      <c r="J24" s="59">
        <f>J23</f>
        <v>0.41500000000000004</v>
      </c>
      <c r="K24" s="61">
        <f>$K$9</f>
        <v>28</v>
      </c>
      <c r="L24" s="60">
        <f>I24</f>
        <v>-3.7508812125484638</v>
      </c>
      <c r="M24" s="62">
        <f t="shared" si="0"/>
        <v>28</v>
      </c>
      <c r="N24" s="61">
        <f t="shared" si="1"/>
        <v>-18</v>
      </c>
      <c r="O24" s="72">
        <f t="shared" si="2"/>
        <v>-3.7508812125484638</v>
      </c>
      <c r="P24" s="73"/>
      <c r="R24" s="56" t="b">
        <v>0</v>
      </c>
      <c r="S24" s="118" t="str">
        <f>R26/10&amp;" cm"</f>
        <v>12 cm</v>
      </c>
      <c r="U24" s="158">
        <v>3.5000000000000003E-2</v>
      </c>
      <c r="V24" s="155" t="s">
        <v>127</v>
      </c>
    </row>
    <row r="25" spans="1:22" ht="13.9" customHeight="1">
      <c r="A25" s="51"/>
      <c r="B25" s="132">
        <f>IF($R$23=1,"Dämmung WDVS",0)</f>
        <v>0</v>
      </c>
      <c r="C25" s="133"/>
      <c r="D25" s="6"/>
      <c r="E25" s="6">
        <f>IF($R$23=1,R$26/1000,0)</f>
        <v>0</v>
      </c>
      <c r="F25" s="6">
        <f>IF($R$23=1,U24,0)</f>
        <v>0</v>
      </c>
      <c r="G25" s="16">
        <f>IF(D25&gt;0,D25,IF(F25&gt;0,E25/F25,0))</f>
        <v>0</v>
      </c>
      <c r="H25" s="20">
        <f>IF(G$33&gt;0,G25/G$33,0)</f>
        <v>0</v>
      </c>
      <c r="I25" s="7"/>
      <c r="J25" s="58">
        <f>E25+J23</f>
        <v>0.41500000000000004</v>
      </c>
      <c r="K25" s="61">
        <f>$K$9</f>
        <v>28</v>
      </c>
      <c r="L25" s="60">
        <f>L26</f>
        <v>-3.7508812125484638</v>
      </c>
      <c r="M25" s="62">
        <f t="shared" si="0"/>
        <v>28</v>
      </c>
      <c r="N25" s="61">
        <f t="shared" si="1"/>
        <v>-18</v>
      </c>
      <c r="O25" s="72">
        <f t="shared" si="2"/>
        <v>-3.7508812125484638</v>
      </c>
      <c r="P25" s="73"/>
    </row>
    <row r="26" spans="1:22" ht="13.9" customHeight="1">
      <c r="A26" s="51"/>
      <c r="B26" s="74"/>
      <c r="C26" s="75"/>
      <c r="D26" s="75"/>
      <c r="E26" s="75"/>
      <c r="F26" s="75"/>
      <c r="G26" s="22"/>
      <c r="H26" s="15"/>
      <c r="I26" s="7">
        <f>I$8-SUM(H$9:H26)*I$33</f>
        <v>-3.7508812125484638</v>
      </c>
      <c r="J26" s="59">
        <f>J25</f>
        <v>0.41500000000000004</v>
      </c>
      <c r="K26" s="61">
        <f>$K$10</f>
        <v>-18</v>
      </c>
      <c r="L26" s="60">
        <f>I26</f>
        <v>-3.7508812125484638</v>
      </c>
      <c r="M26" s="62">
        <f t="shared" si="0"/>
        <v>28</v>
      </c>
      <c r="N26" s="61">
        <f t="shared" si="1"/>
        <v>-18</v>
      </c>
      <c r="O26" s="72">
        <f t="shared" si="2"/>
        <v>-3.7508812125484638</v>
      </c>
      <c r="P26" s="73"/>
      <c r="R26" s="55">
        <v>120</v>
      </c>
    </row>
    <row r="27" spans="1:22" ht="13.9" customHeight="1">
      <c r="A27" s="51"/>
      <c r="B27" s="132">
        <f>IF($R$23=1,"Außenputz",0)</f>
        <v>0</v>
      </c>
      <c r="C27" s="133"/>
      <c r="D27" s="6"/>
      <c r="E27" s="6">
        <f>IF($R$23=1,0.01,0)</f>
        <v>0</v>
      </c>
      <c r="F27" s="6">
        <f>IF($R$23=1,1,0)</f>
        <v>0</v>
      </c>
      <c r="G27" s="16">
        <f>IF(D27&gt;0,D27,IF(F27&gt;0,E27/F27,0))</f>
        <v>0</v>
      </c>
      <c r="H27" s="20">
        <f>IF(G$33&gt;0,G27/G$33,0)</f>
        <v>0</v>
      </c>
      <c r="I27" s="7"/>
      <c r="J27" s="58">
        <f>E27+J25</f>
        <v>0.41500000000000004</v>
      </c>
      <c r="K27" s="61">
        <f>$K$10</f>
        <v>-18</v>
      </c>
      <c r="L27" s="60">
        <f>L28</f>
        <v>-3.7508812125484638</v>
      </c>
      <c r="M27" s="62">
        <f t="shared" si="0"/>
        <v>28</v>
      </c>
      <c r="N27" s="61">
        <f t="shared" si="1"/>
        <v>-18</v>
      </c>
      <c r="O27" s="72">
        <f t="shared" si="2"/>
        <v>-3.7508812125484638</v>
      </c>
      <c r="P27" s="73"/>
    </row>
    <row r="28" spans="1:22" ht="13.9" customHeight="1">
      <c r="A28" s="4"/>
      <c r="B28" s="12"/>
      <c r="C28" s="22"/>
      <c r="D28" s="22"/>
      <c r="E28" s="22"/>
      <c r="F28" s="22"/>
      <c r="G28" s="76"/>
      <c r="H28" s="13"/>
      <c r="I28" s="7">
        <f>I$8-SUM(H$9:H28)*I$33</f>
        <v>-3.7508812125484638</v>
      </c>
      <c r="J28" s="59">
        <f>J27</f>
        <v>0.41500000000000004</v>
      </c>
      <c r="K28" s="61">
        <f>$K$9</f>
        <v>28</v>
      </c>
      <c r="L28" s="60">
        <f>I28</f>
        <v>-3.7508812125484638</v>
      </c>
      <c r="M28" s="62">
        <f t="shared" si="0"/>
        <v>28</v>
      </c>
      <c r="N28" s="61">
        <f t="shared" si="1"/>
        <v>-18</v>
      </c>
      <c r="O28" s="72">
        <f t="shared" si="2"/>
        <v>-3.7508812125484638</v>
      </c>
      <c r="P28" s="73">
        <f>J28</f>
        <v>0.41500000000000004</v>
      </c>
    </row>
    <row r="29" spans="1:22" ht="13.9" customHeight="1">
      <c r="A29" s="4"/>
      <c r="B29" s="12" t="s">
        <v>53</v>
      </c>
      <c r="C29" s="19"/>
      <c r="D29" s="16"/>
      <c r="E29" s="16"/>
      <c r="F29" s="17" t="s">
        <v>4</v>
      </c>
      <c r="G29" s="6">
        <v>0.04</v>
      </c>
      <c r="H29" s="20">
        <f>IF(G$33&gt;0,G29/G$33,0)</f>
        <v>4.996475149806133E-2</v>
      </c>
      <c r="I29" s="18"/>
      <c r="J29" s="58">
        <f>E29+J27-J8</f>
        <v>0.53500000000000003</v>
      </c>
      <c r="K29" s="61"/>
      <c r="L29" s="60">
        <f>L30</f>
        <v>-5</v>
      </c>
      <c r="M29" s="46"/>
      <c r="N29" s="46"/>
      <c r="O29" s="72">
        <f>O30-(L29-L28)*(1-O6)</f>
        <v>-4.687720303137116</v>
      </c>
      <c r="P29" s="73">
        <f>P30+P8*O6</f>
        <v>0.44500000000000006</v>
      </c>
    </row>
    <row r="30" spans="1:22" ht="13.9" customHeight="1">
      <c r="A30" s="4"/>
      <c r="B30" s="23"/>
      <c r="C30" s="24"/>
      <c r="D30" s="24"/>
      <c r="E30" s="24"/>
      <c r="F30" s="16"/>
      <c r="G30" s="16"/>
      <c r="H30" s="17" t="s">
        <v>52</v>
      </c>
      <c r="I30" s="5">
        <v>-5</v>
      </c>
      <c r="J30" s="59">
        <f>J29</f>
        <v>0.53500000000000003</v>
      </c>
      <c r="K30" s="61"/>
      <c r="L30" s="60">
        <f>I30</f>
        <v>-5</v>
      </c>
      <c r="M30" s="46"/>
      <c r="N30" s="46"/>
      <c r="O30" s="72">
        <f>L30</f>
        <v>-5</v>
      </c>
      <c r="P30" s="73">
        <f>J30</f>
        <v>0.53500000000000003</v>
      </c>
    </row>
    <row r="31" spans="1:22" ht="13.9" customHeight="1">
      <c r="A31" s="4"/>
      <c r="B31" s="25"/>
      <c r="C31" s="26"/>
      <c r="D31" s="24"/>
      <c r="E31" s="24"/>
      <c r="F31" s="27"/>
      <c r="G31" s="16"/>
      <c r="H31" s="28"/>
      <c r="I31" s="28"/>
      <c r="J31" s="47"/>
      <c r="K31" s="44"/>
      <c r="L31" s="45"/>
      <c r="M31" s="46"/>
      <c r="N31" s="46"/>
      <c r="O31" s="46"/>
      <c r="P31" s="71"/>
    </row>
    <row r="32" spans="1:22" ht="13.9" customHeight="1">
      <c r="A32" s="4"/>
      <c r="B32" s="29" t="s">
        <v>23</v>
      </c>
      <c r="C32" s="26"/>
      <c r="D32" s="24"/>
      <c r="E32" s="24" t="s">
        <v>29</v>
      </c>
      <c r="F32" s="24"/>
      <c r="G32" s="24" t="s">
        <v>29</v>
      </c>
      <c r="H32" s="24" t="s">
        <v>29</v>
      </c>
      <c r="I32" s="24" t="s">
        <v>29</v>
      </c>
      <c r="J32" s="47"/>
      <c r="K32" s="44"/>
      <c r="L32" s="45"/>
      <c r="M32" s="46"/>
      <c r="N32" s="46"/>
      <c r="O32" s="46"/>
      <c r="P32" s="71"/>
    </row>
    <row r="33" spans="1:16" ht="13.9" customHeight="1">
      <c r="A33" s="4"/>
      <c r="B33" s="25" t="s">
        <v>22</v>
      </c>
      <c r="C33" s="91">
        <v>0.13</v>
      </c>
      <c r="D33" s="30"/>
      <c r="E33" s="16">
        <f>SUM(E11:E27)</f>
        <v>0.41500000000000004</v>
      </c>
      <c r="F33" s="31"/>
      <c r="G33" s="16">
        <f>SUM(G9:G29)</f>
        <v>0.80056437389770729</v>
      </c>
      <c r="H33" s="32">
        <f>SUM(H9:H29)</f>
        <v>0.99999999999999989</v>
      </c>
      <c r="I33" s="33">
        <f>I8-I30</f>
        <v>25</v>
      </c>
      <c r="J33" s="47"/>
      <c r="K33" s="44"/>
      <c r="L33" s="44"/>
      <c r="M33" s="44"/>
      <c r="N33" s="44"/>
      <c r="O33" s="44"/>
      <c r="P33" s="71"/>
    </row>
    <row r="34" spans="1:16" ht="13.9" customHeight="1">
      <c r="A34" s="4"/>
      <c r="B34" s="25" t="s">
        <v>4</v>
      </c>
      <c r="C34" s="92">
        <v>0.04</v>
      </c>
      <c r="D34" s="17"/>
      <c r="E34" s="17"/>
      <c r="F34" s="17"/>
      <c r="G34" s="13"/>
      <c r="H34" s="15"/>
      <c r="I34" s="15"/>
      <c r="J34" s="48"/>
      <c r="K34" s="49"/>
      <c r="L34" s="49"/>
      <c r="M34" s="49"/>
      <c r="N34" s="49"/>
      <c r="O34" s="49"/>
      <c r="P34" s="50"/>
    </row>
    <row r="35" spans="1:16" ht="13.9" customHeight="1">
      <c r="A35" s="4"/>
      <c r="B35" s="165" t="s">
        <v>9</v>
      </c>
      <c r="C35" s="167">
        <f>IF(AND(C33&gt;0,G33&gt;0),1/(G33-(G9+G29)+(C33+C34)),IF(G33&gt;0,1/G33,0))</f>
        <v>1.4693687156629003</v>
      </c>
      <c r="D35" s="169" t="s">
        <v>119</v>
      </c>
      <c r="E35" s="170"/>
      <c r="F35" s="165" t="s">
        <v>25</v>
      </c>
      <c r="G35" s="173" t="s">
        <v>39</v>
      </c>
      <c r="H35" s="173"/>
      <c r="I35" s="174" t="s">
        <v>13</v>
      </c>
      <c r="J35" s="34">
        <f>I10</f>
        <v>12.193007578427917</v>
      </c>
      <c r="K35" s="35" t="s">
        <v>14</v>
      </c>
      <c r="L35" s="36">
        <f>I30</f>
        <v>-5</v>
      </c>
      <c r="M35" s="174" t="s">
        <v>13</v>
      </c>
      <c r="N35" s="37">
        <f>J35-L35</f>
        <v>17.193007578427917</v>
      </c>
      <c r="O35" s="174" t="s">
        <v>13</v>
      </c>
      <c r="P35" s="170">
        <f>IF(N36&lt;&gt;0,N35/N36,0)</f>
        <v>0.68772030313711663</v>
      </c>
    </row>
    <row r="36" spans="1:16" ht="13.9" customHeight="1">
      <c r="A36" s="4"/>
      <c r="B36" s="166"/>
      <c r="C36" s="168"/>
      <c r="D36" s="171"/>
      <c r="E36" s="172"/>
      <c r="F36" s="166"/>
      <c r="G36" s="175" t="s">
        <v>40</v>
      </c>
      <c r="H36" s="175"/>
      <c r="I36" s="168"/>
      <c r="J36" s="38">
        <f>I8</f>
        <v>20</v>
      </c>
      <c r="K36" s="156" t="s">
        <v>14</v>
      </c>
      <c r="L36" s="39">
        <f>I30</f>
        <v>-5</v>
      </c>
      <c r="M36" s="168"/>
      <c r="N36" s="40">
        <f>J36-L36</f>
        <v>25</v>
      </c>
      <c r="O36" s="168"/>
      <c r="P36" s="172"/>
    </row>
    <row r="37" spans="1:16" ht="13.9" customHeight="1">
      <c r="A37" s="4" t="s">
        <v>15</v>
      </c>
      <c r="B37" s="137" t="s">
        <v>34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3.9" customHeight="1">
      <c r="A38" s="4" t="s">
        <v>15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6" ht="13.9" customHeight="1">
      <c r="A39" s="4" t="s">
        <v>15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6" ht="13.9" customHeight="1">
      <c r="A40" s="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3.9" customHeight="1">
      <c r="A41" s="4"/>
      <c r="B41" s="176" t="s">
        <v>24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8"/>
      <c r="P41" s="9" t="s">
        <v>16</v>
      </c>
    </row>
    <row r="42" spans="1:16" ht="13.9" customHeight="1">
      <c r="A42" s="4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0"/>
      <c r="P42" s="11"/>
    </row>
    <row r="43" spans="1:16" ht="13.9" customHeight="1">
      <c r="A43" s="4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6" ht="13.9" customHeight="1">
      <c r="A44" s="4"/>
      <c r="B44" s="80"/>
      <c r="C44" s="46" t="str">
        <f>"Luft im Raum:   "&amp;FIXED(G47,1)&amp;"°C   r.F.= "&amp;ROUND((M49*100),0)&amp;"%   ("&amp;ROUND(F60,1)&amp;" von max. "&amp;ROUND(K47,1)&amp;" g/m³)"</f>
        <v>Luft im Raum:   20,0°C   r.F.= 49%   (8,4 von max. 17,3 g/m³)</v>
      </c>
      <c r="D44" s="46"/>
      <c r="E44" s="46"/>
      <c r="F44" s="46"/>
      <c r="G44" s="46"/>
      <c r="H44" s="46"/>
      <c r="I44" s="104"/>
      <c r="J44" s="138" t="str">
        <f>"      Luft im Raum:    "&amp;FIXED(G47,1)&amp;"°C   r.F.=  "&amp;ROUND((M48*100),0)&amp;"%     ("&amp;ROUND(M60,1)&amp;" von max. "&amp;ROUND(K47,1)&amp;" g/m³)"</f>
        <v xml:space="preserve">      Luft im Raum:    20,0°C   r.F.=  61%     (10,5 von max. 17,3 g/m³)</v>
      </c>
      <c r="K44" s="46"/>
      <c r="L44" s="46"/>
      <c r="M44" s="46"/>
      <c r="N44" s="46"/>
      <c r="O44" s="46"/>
      <c r="P44" s="81"/>
    </row>
    <row r="45" spans="1:16" ht="13.9" customHeight="1">
      <c r="A45" s="4"/>
      <c r="B45" s="80"/>
      <c r="C45" s="46" t="str">
        <f>"Luft an Oberfl.:  "&amp;FIXED(G49,1)&amp;"°C   r.F.= "&amp;ROUND((E49*100),0)&amp;"%   ("&amp;ROUND(K49,1)&amp;" von max. "&amp;ROUND(K48,1)&amp;" g/m³)"</f>
        <v>Luft an Oberfl.:  12,2°C   r.F.= 80%   (8,6 von max. 10,8 g/m³)</v>
      </c>
      <c r="D45" s="46"/>
      <c r="E45" s="46"/>
      <c r="F45" s="46"/>
      <c r="G45" s="46"/>
      <c r="H45" s="46"/>
      <c r="I45" s="104"/>
      <c r="J45" s="46" t="str">
        <f>"      Luft an Oberfl.:   "&amp;FIXED(G48,1)&amp;"°C   r.F.= "&amp;ROUND((E48*100),0)&amp;"%    ("&amp;ROUND(K48,1)&amp;" von max. "&amp;ROUND(K48,1)&amp;" g/m³)"</f>
        <v xml:space="preserve">      Luft an Oberfl.:   12,2°C   r.F.= 100%    (10,8 von max. 10,8 g/m³)</v>
      </c>
      <c r="K45" s="46"/>
      <c r="L45" s="46"/>
      <c r="M45" s="46"/>
      <c r="N45" s="46"/>
      <c r="O45" s="46"/>
      <c r="P45" s="81"/>
    </row>
    <row r="46" spans="1:16" ht="13.9" customHeight="1">
      <c r="A46" s="4"/>
      <c r="B46" s="80"/>
      <c r="C46" s="46"/>
      <c r="D46" s="46"/>
      <c r="E46" s="46"/>
      <c r="F46" s="46"/>
      <c r="G46" s="46"/>
      <c r="H46" s="46"/>
      <c r="I46" s="104"/>
      <c r="J46" s="46"/>
      <c r="K46" s="46"/>
      <c r="L46" s="46"/>
      <c r="M46" s="46"/>
      <c r="N46" s="46"/>
      <c r="O46" s="46"/>
      <c r="P46" s="81"/>
    </row>
    <row r="47" spans="1:16" ht="13.9" customHeight="1">
      <c r="A47" s="4"/>
      <c r="B47" s="80"/>
      <c r="C47" s="86">
        <f>MAX(C48:C51)</f>
        <v>3</v>
      </c>
      <c r="D47" s="87"/>
      <c r="E47" s="88">
        <v>1</v>
      </c>
      <c r="F47" s="89" t="s">
        <v>41</v>
      </c>
      <c r="G47" s="90">
        <f>I8</f>
        <v>20</v>
      </c>
      <c r="H47" s="105" t="s">
        <v>44</v>
      </c>
      <c r="I47" s="111">
        <f>IF(G47&lt;=0,4.689*(1.486+G47/100)^12.3,288.68*(1.098+G47/100)^8.02)</f>
        <v>2338.1896306956355</v>
      </c>
      <c r="J47" s="106" t="s">
        <v>45</v>
      </c>
      <c r="K47" s="17">
        <f>I47/((273.15+G47)*461.5)*1000</f>
        <v>17.282960059647511</v>
      </c>
      <c r="L47" s="90" t="s">
        <v>46</v>
      </c>
      <c r="M47" s="88" t="s">
        <v>47</v>
      </c>
      <c r="N47" s="86">
        <f>MAX(N48:N51)</f>
        <v>1</v>
      </c>
      <c r="O47" s="87"/>
      <c r="P47" s="81"/>
    </row>
    <row r="48" spans="1:16" ht="13.9" customHeight="1">
      <c r="A48" s="4"/>
      <c r="B48" s="80"/>
      <c r="C48" s="3">
        <f>IF(M$49&gt;=0.6,1,0)</f>
        <v>0</v>
      </c>
      <c r="D48" s="2" t="s">
        <v>18</v>
      </c>
      <c r="E48" s="88">
        <v>1</v>
      </c>
      <c r="F48" s="89" t="s">
        <v>42</v>
      </c>
      <c r="G48" s="90">
        <f>I10</f>
        <v>12.193007578427917</v>
      </c>
      <c r="H48" s="105" t="s">
        <v>44</v>
      </c>
      <c r="I48" s="111">
        <f>IF(G48&lt;=0,4.689*(1.486+G48/100)^12.3,288.68*(1.098+G48/100)^8.02)</f>
        <v>1421.748905585699</v>
      </c>
      <c r="J48" s="106" t="s">
        <v>45</v>
      </c>
      <c r="K48" s="17">
        <f>I48/((273.15+G48)*461.5)*1000</f>
        <v>10.796524205391457</v>
      </c>
      <c r="L48" s="90" t="s">
        <v>46</v>
      </c>
      <c r="M48" s="88">
        <f>K48*H53/K47</f>
        <v>0.60805543182685062</v>
      </c>
      <c r="N48" s="3">
        <f>IF(M$48&gt;=0.6,1,0)</f>
        <v>1</v>
      </c>
      <c r="O48" s="2" t="s">
        <v>18</v>
      </c>
      <c r="P48" s="81"/>
    </row>
    <row r="49" spans="1:16" ht="13.9" customHeight="1">
      <c r="A49" s="4"/>
      <c r="B49" s="80"/>
      <c r="C49" s="3">
        <f>IF(AND(M$49&lt;0.6,M$49&gt;=0.5),2,0)</f>
        <v>0</v>
      </c>
      <c r="D49" s="2" t="s">
        <v>19</v>
      </c>
      <c r="E49" s="88">
        <f>B80</f>
        <v>0.8</v>
      </c>
      <c r="F49" s="89" t="s">
        <v>42</v>
      </c>
      <c r="G49" s="90">
        <f>I10</f>
        <v>12.193007578427917</v>
      </c>
      <c r="H49" s="105" t="s">
        <v>44</v>
      </c>
      <c r="I49" s="111">
        <f>IF(G49&lt;=0,4.689*(1.486+G49/100)^12.3,288.68*(1.098+G49/100)^8.02)*E49</f>
        <v>1137.3991244685592</v>
      </c>
      <c r="J49" s="106" t="s">
        <v>45</v>
      </c>
      <c r="K49" s="17">
        <f>I49/((273.15+G49)*461.5)*1000</f>
        <v>8.6372193643131663</v>
      </c>
      <c r="L49" s="90" t="s">
        <v>46</v>
      </c>
      <c r="M49" s="88">
        <f>K49*H53/K47</f>
        <v>0.48644434546148052</v>
      </c>
      <c r="N49" s="3">
        <f>IF(AND(M$48&lt;0.6,M$48&gt;=0.5),2,0)</f>
        <v>0</v>
      </c>
      <c r="O49" s="2" t="s">
        <v>19</v>
      </c>
      <c r="P49" s="81"/>
    </row>
    <row r="50" spans="1:16" ht="13.9" customHeight="1">
      <c r="A50" s="4"/>
      <c r="B50" s="80"/>
      <c r="C50" s="3">
        <f>IF(AND(M$49&lt;0.5,M$49&gt;=0.4),3,0)</f>
        <v>3</v>
      </c>
      <c r="D50" s="2" t="s">
        <v>21</v>
      </c>
      <c r="E50" s="88">
        <v>1</v>
      </c>
      <c r="F50" s="89" t="s">
        <v>43</v>
      </c>
      <c r="G50" s="90">
        <f>I30</f>
        <v>-5</v>
      </c>
      <c r="H50" s="105" t="s">
        <v>44</v>
      </c>
      <c r="I50" s="111">
        <f>IF(G50&lt;=0,4.689*(1.486+G50/100)^12.3,288.68*(1.098+G50/100)^8.02)</f>
        <v>401.86468553457718</v>
      </c>
      <c r="J50" s="106" t="s">
        <v>45</v>
      </c>
      <c r="K50" s="17">
        <f>I50/((273.15+G50)*461.5)*1000</f>
        <v>3.2473592526827693</v>
      </c>
      <c r="L50" s="90" t="s">
        <v>46</v>
      </c>
      <c r="M50" s="88"/>
      <c r="N50" s="3">
        <f>IF(AND(M$48&lt;0.5,M$48&gt;=0.4),3,0)</f>
        <v>0</v>
      </c>
      <c r="O50" s="2" t="s">
        <v>21</v>
      </c>
      <c r="P50" s="81"/>
    </row>
    <row r="51" spans="1:16" ht="13.9" customHeight="1">
      <c r="A51" s="4"/>
      <c r="B51" s="80"/>
      <c r="C51" s="3">
        <f>IF(M$49&lt;0.4,4,0)</f>
        <v>0</v>
      </c>
      <c r="D51" s="2" t="s">
        <v>20</v>
      </c>
      <c r="E51" s="46"/>
      <c r="F51" s="46"/>
      <c r="G51" s="46"/>
      <c r="H51" s="46"/>
      <c r="I51" s="46"/>
      <c r="J51" s="46"/>
      <c r="K51" s="46"/>
      <c r="L51" s="46"/>
      <c r="M51" s="46"/>
      <c r="N51" s="3">
        <f>IF(M$48&lt;0.4,4,0)</f>
        <v>0</v>
      </c>
      <c r="O51" s="2" t="s">
        <v>20</v>
      </c>
      <c r="P51" s="81"/>
    </row>
    <row r="52" spans="1:16" ht="13.9" customHeight="1">
      <c r="A52" s="4"/>
      <c r="B52" s="80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81"/>
    </row>
    <row r="53" spans="1:16" ht="13.9" customHeight="1">
      <c r="A53" s="4"/>
      <c r="B53" s="80"/>
      <c r="C53" s="46"/>
      <c r="D53" s="46"/>
      <c r="E53" s="101">
        <f>C67</f>
        <v>1</v>
      </c>
      <c r="F53" s="46"/>
      <c r="G53" s="147">
        <v>273.14999999999998</v>
      </c>
      <c r="H53" s="46">
        <f>(G53+G48)/(G53+G47)</f>
        <v>0.97336860848858231</v>
      </c>
      <c r="I53" s="46"/>
      <c r="J53" s="46"/>
      <c r="K53" s="46"/>
      <c r="L53" s="46"/>
      <c r="M53" s="46"/>
      <c r="N53" s="46"/>
      <c r="O53" s="46"/>
      <c r="P53" s="81"/>
    </row>
    <row r="54" spans="1:16" ht="13.9" customHeight="1">
      <c r="A54" s="4"/>
      <c r="B54" s="80"/>
      <c r="C54" s="46"/>
      <c r="D54" s="46"/>
      <c r="E54" s="101">
        <f>C64</f>
        <v>0.8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81"/>
    </row>
    <row r="55" spans="1:16" ht="13.9" customHeight="1">
      <c r="A55" s="4"/>
      <c r="B55" s="80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81"/>
    </row>
    <row r="56" spans="1:16" ht="13.9" customHeight="1">
      <c r="A56" s="4"/>
      <c r="B56" s="80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81"/>
    </row>
    <row r="57" spans="1:16" ht="13.9" customHeight="1">
      <c r="A57" s="4"/>
      <c r="B57" s="80"/>
      <c r="C57" s="46"/>
      <c r="D57" s="46"/>
      <c r="E57" s="95">
        <v>0</v>
      </c>
      <c r="F57" s="95">
        <f>K49</f>
        <v>8.6372193643131663</v>
      </c>
      <c r="G57" s="46"/>
      <c r="H57" s="46"/>
      <c r="I57" s="46"/>
      <c r="J57" s="46"/>
      <c r="K57" s="46"/>
      <c r="L57" s="95">
        <v>0</v>
      </c>
      <c r="M57" s="95">
        <f>K48</f>
        <v>10.796524205391457</v>
      </c>
      <c r="N57" s="46"/>
      <c r="O57" s="46"/>
      <c r="P57" s="81"/>
    </row>
    <row r="58" spans="1:16" ht="13.9" customHeight="1">
      <c r="A58" s="4"/>
      <c r="B58" s="80"/>
      <c r="C58" s="46"/>
      <c r="D58" s="100" t="s">
        <v>51</v>
      </c>
      <c r="E58" s="95">
        <f>G49</f>
        <v>12.193007578427917</v>
      </c>
      <c r="F58" s="95">
        <f>E58</f>
        <v>12.193007578427917</v>
      </c>
      <c r="G58" s="46"/>
      <c r="H58" s="46"/>
      <c r="I58" s="46"/>
      <c r="J58" s="46"/>
      <c r="K58" s="46"/>
      <c r="L58" s="95">
        <f>G48</f>
        <v>12.193007578427917</v>
      </c>
      <c r="M58" s="95">
        <f>L58</f>
        <v>12.193007578427917</v>
      </c>
      <c r="N58" s="46"/>
      <c r="O58" s="46"/>
      <c r="P58" s="81"/>
    </row>
    <row r="59" spans="1:16" ht="13.9" customHeight="1">
      <c r="A59" s="4"/>
      <c r="B59" s="80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6" ht="13.9" customHeight="1">
      <c r="A60" s="4"/>
      <c r="B60" s="80"/>
      <c r="C60" s="46"/>
      <c r="D60" s="46"/>
      <c r="E60" s="95">
        <v>0</v>
      </c>
      <c r="F60" s="95">
        <f>F57*H53</f>
        <v>8.4071981938521443</v>
      </c>
      <c r="G60" s="46"/>
      <c r="H60" s="46"/>
      <c r="I60" s="46"/>
      <c r="J60" s="46"/>
      <c r="K60" s="46"/>
      <c r="L60" s="95">
        <v>0</v>
      </c>
      <c r="M60" s="95">
        <f>K48*H53</f>
        <v>10.508997742315179</v>
      </c>
      <c r="N60" s="46"/>
      <c r="O60" s="46"/>
      <c r="P60" s="81"/>
    </row>
    <row r="61" spans="1:16" ht="13.9" customHeight="1">
      <c r="A61" s="4"/>
      <c r="B61" s="80"/>
      <c r="C61" s="46"/>
      <c r="D61" s="100" t="s">
        <v>50</v>
      </c>
      <c r="E61" s="95">
        <f>G47</f>
        <v>20</v>
      </c>
      <c r="F61" s="95">
        <f>E61</f>
        <v>20</v>
      </c>
      <c r="G61" s="46"/>
      <c r="H61" s="46"/>
      <c r="I61" s="46"/>
      <c r="J61" s="46"/>
      <c r="K61" s="46"/>
      <c r="L61" s="95">
        <f>G47</f>
        <v>20</v>
      </c>
      <c r="M61" s="95">
        <f>L61</f>
        <v>20</v>
      </c>
      <c r="N61" s="46"/>
      <c r="O61" s="46"/>
      <c r="P61" s="81"/>
    </row>
    <row r="62" spans="1:16" ht="13.9" customHeight="1">
      <c r="A62" s="4"/>
      <c r="B62" s="80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81"/>
    </row>
    <row r="63" spans="1:16" ht="13.9" customHeight="1">
      <c r="A63" s="4"/>
      <c r="B63" s="80"/>
      <c r="C63" s="46"/>
      <c r="D63" s="46"/>
      <c r="E63" s="46"/>
      <c r="F63" s="46"/>
      <c r="G63" s="46"/>
      <c r="H63" s="46"/>
      <c r="I63" s="104"/>
      <c r="J63" s="46"/>
      <c r="K63" s="46"/>
      <c r="L63" s="46"/>
      <c r="M63" s="46"/>
      <c r="N63" s="46"/>
      <c r="O63" s="46"/>
      <c r="P63" s="81"/>
    </row>
    <row r="64" spans="1:16" ht="13.9" customHeight="1">
      <c r="A64" s="4"/>
      <c r="B64" s="80"/>
      <c r="C64" s="97">
        <f t="shared" ref="C64:O64" si="3">$E49</f>
        <v>0.8</v>
      </c>
      <c r="D64" s="97">
        <f t="shared" si="3"/>
        <v>0.8</v>
      </c>
      <c r="E64" s="97">
        <f t="shared" si="3"/>
        <v>0.8</v>
      </c>
      <c r="F64" s="97">
        <f t="shared" si="3"/>
        <v>0.8</v>
      </c>
      <c r="G64" s="97">
        <f t="shared" si="3"/>
        <v>0.8</v>
      </c>
      <c r="H64" s="97">
        <f t="shared" si="3"/>
        <v>0.8</v>
      </c>
      <c r="I64" s="112">
        <f t="shared" si="3"/>
        <v>0.8</v>
      </c>
      <c r="J64" s="97">
        <f t="shared" si="3"/>
        <v>0.8</v>
      </c>
      <c r="K64" s="97">
        <f t="shared" si="3"/>
        <v>0.8</v>
      </c>
      <c r="L64" s="97">
        <f t="shared" si="3"/>
        <v>0.8</v>
      </c>
      <c r="M64" s="97">
        <f t="shared" si="3"/>
        <v>0.8</v>
      </c>
      <c r="N64" s="97">
        <f t="shared" si="3"/>
        <v>0.8</v>
      </c>
      <c r="O64" s="97">
        <f t="shared" si="3"/>
        <v>0.8</v>
      </c>
      <c r="P64" s="81"/>
    </row>
    <row r="65" spans="1:16" ht="13.9" customHeight="1">
      <c r="A65" s="4"/>
      <c r="B65" s="99"/>
      <c r="C65" s="57">
        <f>C66/((273.15+C70)*461.5)*1000*C64</f>
        <v>0.44372247332317721</v>
      </c>
      <c r="D65" s="57">
        <f t="shared" ref="D65:J65" si="4">D66/((273.15+D70)*461.5)*1000*D64</f>
        <v>0.7084096952427501</v>
      </c>
      <c r="E65" s="57">
        <f t="shared" si="4"/>
        <v>1.1105696994573482</v>
      </c>
      <c r="F65" s="57">
        <f t="shared" si="4"/>
        <v>1.7119176612103517</v>
      </c>
      <c r="G65" s="57">
        <f t="shared" si="4"/>
        <v>2.5978874021462155</v>
      </c>
      <c r="H65" s="107">
        <f t="shared" si="4"/>
        <v>3.8853367454401182</v>
      </c>
      <c r="I65" s="111">
        <f t="shared" si="4"/>
        <v>5.4423924595383788</v>
      </c>
      <c r="J65" s="109">
        <f t="shared" si="4"/>
        <v>7.5256166709804546</v>
      </c>
      <c r="K65" s="57">
        <f>K66/((273.15+K70)*461.5)*1000*K64</f>
        <v>10.26496159411175</v>
      </c>
      <c r="L65" s="57">
        <f>L66/((273.15+L70)*461.5)*1000*L64</f>
        <v>13.82636804771801</v>
      </c>
      <c r="M65" s="57">
        <f>M66/((273.15+M70)*461.5)*1000*M64</f>
        <v>18.408275271565099</v>
      </c>
      <c r="N65" s="57">
        <f>N66/((273.15+N70)*461.5)*1000*N64</f>
        <v>24.246269070414641</v>
      </c>
      <c r="O65" s="57">
        <f>O66/((273.15+O70)*461.5)*1000*O64</f>
        <v>31.618165787340743</v>
      </c>
      <c r="P65" s="81"/>
    </row>
    <row r="66" spans="1:16" ht="13.9" customHeight="1">
      <c r="A66" s="4"/>
      <c r="B66" s="80"/>
      <c r="C66" s="57">
        <f>IF(C70&lt;=0,4.689*(1.486+C70/100)^12.3,288.68*(1.098+C70/100)^8.02)</f>
        <v>63.519551506250089</v>
      </c>
      <c r="D66" s="57">
        <f t="shared" ref="D66:J66" si="5">IF(D70&lt;=0,4.689*(1.486+D70/100)^12.3,288.68*(1.098+D70/100)^8.02)</f>
        <v>103.45325184106132</v>
      </c>
      <c r="E66" s="57">
        <f t="shared" si="5"/>
        <v>165.38635199091624</v>
      </c>
      <c r="F66" s="57">
        <f t="shared" si="5"/>
        <v>259.87707208834138</v>
      </c>
      <c r="G66" s="57">
        <f t="shared" si="5"/>
        <v>401.86468553457718</v>
      </c>
      <c r="H66" s="107">
        <f t="shared" si="5"/>
        <v>612.22574540728851</v>
      </c>
      <c r="I66" s="111">
        <f t="shared" si="5"/>
        <v>873.27421874925847</v>
      </c>
      <c r="J66" s="109">
        <f t="shared" si="5"/>
        <v>1229.2504541488943</v>
      </c>
      <c r="K66" s="57">
        <f>IF(K70&lt;=0,4.689*(1.486+K70/100)^12.3,288.68*(1.098+K70/100)^8.02)</f>
        <v>1706.3089592036661</v>
      </c>
      <c r="L66" s="57">
        <f>IF(L70&lt;=0,4.689*(1.486+L70/100)^12.3,288.68*(1.098+L70/100)^8.02)</f>
        <v>2338.1896306956355</v>
      </c>
      <c r="M66" s="57">
        <f>IF(M70&lt;=0,4.689*(1.486+M70/100)^12.3,288.68*(1.098+M70/100)^8.02)</f>
        <v>3166.1364826602589</v>
      </c>
      <c r="N66" s="57">
        <f>IF(N70&lt;=0,4.689*(1.486+N70/100)^12.3,288.68*(1.098+N70/100)^8.02)</f>
        <v>4240.1792003791188</v>
      </c>
      <c r="O66" s="57">
        <f>IF(O70&lt;=0,4.689*(1.486+O70/100)^12.3,288.68*(1.098+O70/100)^8.02)</f>
        <v>5620.5726110885189</v>
      </c>
      <c r="P66" s="81"/>
    </row>
    <row r="67" spans="1:16" ht="13.9" customHeight="1">
      <c r="A67" s="4"/>
      <c r="B67" s="82"/>
      <c r="C67" s="97">
        <f t="shared" ref="C67:O67" si="6">$E48</f>
        <v>1</v>
      </c>
      <c r="D67" s="97">
        <f t="shared" si="6"/>
        <v>1</v>
      </c>
      <c r="E67" s="97">
        <f t="shared" si="6"/>
        <v>1</v>
      </c>
      <c r="F67" s="97">
        <f t="shared" si="6"/>
        <v>1</v>
      </c>
      <c r="G67" s="97">
        <f t="shared" si="6"/>
        <v>1</v>
      </c>
      <c r="H67" s="97">
        <f t="shared" si="6"/>
        <v>1</v>
      </c>
      <c r="I67" s="112">
        <f t="shared" si="6"/>
        <v>1</v>
      </c>
      <c r="J67" s="97">
        <f t="shared" si="6"/>
        <v>1</v>
      </c>
      <c r="K67" s="97">
        <f t="shared" si="6"/>
        <v>1</v>
      </c>
      <c r="L67" s="97">
        <f t="shared" si="6"/>
        <v>1</v>
      </c>
      <c r="M67" s="97">
        <f t="shared" si="6"/>
        <v>1</v>
      </c>
      <c r="N67" s="97">
        <f t="shared" si="6"/>
        <v>1</v>
      </c>
      <c r="O67" s="97">
        <f t="shared" si="6"/>
        <v>1</v>
      </c>
      <c r="P67" s="83"/>
    </row>
    <row r="68" spans="1:16" ht="13.9" customHeight="1">
      <c r="A68" s="4"/>
      <c r="B68" s="99"/>
      <c r="C68" s="57">
        <f>C69/((273.15+C70)*461.5)*1000*C67</f>
        <v>0.55465309165397148</v>
      </c>
      <c r="D68" s="57">
        <f t="shared" ref="D68:J68" si="7">D69/((273.15+D70)*461.5)*1000*D67</f>
        <v>0.88551211905343763</v>
      </c>
      <c r="E68" s="57">
        <f t="shared" si="7"/>
        <v>1.3882121243216852</v>
      </c>
      <c r="F68" s="57">
        <f t="shared" si="7"/>
        <v>2.1398970765129395</v>
      </c>
      <c r="G68" s="57">
        <f t="shared" si="7"/>
        <v>3.2473592526827693</v>
      </c>
      <c r="H68" s="107">
        <f t="shared" si="7"/>
        <v>4.8566709318001475</v>
      </c>
      <c r="I68" s="111">
        <f t="shared" si="7"/>
        <v>6.8029905744229726</v>
      </c>
      <c r="J68" s="109">
        <f t="shared" si="7"/>
        <v>9.4070208387255683</v>
      </c>
      <c r="K68" s="57">
        <f>K69/((273.15+K70)*461.5)*1000*K67</f>
        <v>12.831201992639686</v>
      </c>
      <c r="L68" s="57">
        <f>L69/((273.15+L70)*461.5)*1000*L67</f>
        <v>17.282960059647511</v>
      </c>
      <c r="M68" s="57">
        <f>M69/((273.15+M70)*461.5)*1000*M67</f>
        <v>23.010344089456375</v>
      </c>
      <c r="N68" s="57">
        <f>N69/((273.15+N70)*461.5)*1000*N67</f>
        <v>30.307836338018301</v>
      </c>
      <c r="O68" s="57">
        <f>O69/((273.15+O70)*461.5)*1000*O67</f>
        <v>39.522707234175925</v>
      </c>
      <c r="P68" s="83"/>
    </row>
    <row r="69" spans="1:16" ht="13.9" customHeight="1">
      <c r="A69" s="4"/>
      <c r="B69" s="96"/>
      <c r="C69" s="57">
        <f>IF(C70&lt;=0,4.689*(1.486+C70/100)^12.3,288.68*(1.098+C70/100)^8.02)</f>
        <v>63.519551506250089</v>
      </c>
      <c r="D69" s="57">
        <f t="shared" ref="D69:J69" si="8">IF(D70&lt;=0,4.689*(1.486+D70/100)^12.3,288.68*(1.098+D70/100)^8.02)</f>
        <v>103.45325184106132</v>
      </c>
      <c r="E69" s="57">
        <f t="shared" si="8"/>
        <v>165.38635199091624</v>
      </c>
      <c r="F69" s="57">
        <f t="shared" si="8"/>
        <v>259.87707208834138</v>
      </c>
      <c r="G69" s="57">
        <f t="shared" si="8"/>
        <v>401.86468553457718</v>
      </c>
      <c r="H69" s="107">
        <f t="shared" si="8"/>
        <v>612.22574540728851</v>
      </c>
      <c r="I69" s="111">
        <f t="shared" si="8"/>
        <v>873.27421874925847</v>
      </c>
      <c r="J69" s="109">
        <f t="shared" si="8"/>
        <v>1229.2504541488943</v>
      </c>
      <c r="K69" s="57">
        <f>IF(K70&lt;=0,4.689*(1.486+K70/100)^12.3,288.68*(1.098+K70/100)^8.02)</f>
        <v>1706.3089592036661</v>
      </c>
      <c r="L69" s="57">
        <f>IF(L70&lt;=0,4.689*(1.486+L70/100)^12.3,288.68*(1.098+L70/100)^8.02)</f>
        <v>2338.1896306956355</v>
      </c>
      <c r="M69" s="57">
        <f>IF(M70&lt;=0,4.689*(1.486+M70/100)^12.3,288.68*(1.098+M70/100)^8.02)</f>
        <v>3166.1364826602589</v>
      </c>
      <c r="N69" s="57">
        <f>IF(N70&lt;=0,4.689*(1.486+N70/100)^12.3,288.68*(1.098+N70/100)^8.02)</f>
        <v>4240.1792003791188</v>
      </c>
      <c r="O69" s="57">
        <f>IF(O70&lt;=0,4.689*(1.486+O70/100)^12.3,288.68*(1.098+O70/100)^8.02)</f>
        <v>5620.5726110885189</v>
      </c>
      <c r="P69" s="81"/>
    </row>
    <row r="70" spans="1:16" ht="13.9" customHeight="1">
      <c r="A70" s="4"/>
      <c r="B70" s="96"/>
      <c r="C70" s="98">
        <v>-25</v>
      </c>
      <c r="D70" s="98">
        <v>-20</v>
      </c>
      <c r="E70" s="98">
        <v>-15</v>
      </c>
      <c r="F70" s="98">
        <v>-10</v>
      </c>
      <c r="G70" s="98">
        <v>-5</v>
      </c>
      <c r="H70" s="108">
        <v>0</v>
      </c>
      <c r="I70" s="113">
        <v>5</v>
      </c>
      <c r="J70" s="110">
        <v>10</v>
      </c>
      <c r="K70" s="98">
        <v>15</v>
      </c>
      <c r="L70" s="98">
        <v>20</v>
      </c>
      <c r="M70" s="98">
        <v>25</v>
      </c>
      <c r="N70" s="98">
        <v>30</v>
      </c>
      <c r="O70" s="98">
        <v>35</v>
      </c>
      <c r="P70" s="81"/>
    </row>
    <row r="71" spans="1:16" ht="13.9" customHeight="1">
      <c r="A71" s="4"/>
      <c r="B71" s="80"/>
      <c r="C71" s="46"/>
      <c r="D71" s="46"/>
      <c r="E71" s="46"/>
      <c r="F71" s="46"/>
      <c r="G71" s="46"/>
      <c r="H71" s="46"/>
      <c r="I71" s="104"/>
      <c r="J71" s="46"/>
      <c r="K71" s="46"/>
      <c r="L71" s="46"/>
      <c r="M71" s="46"/>
      <c r="N71" s="46"/>
      <c r="O71" s="46"/>
      <c r="P71" s="81"/>
    </row>
    <row r="72" spans="1:16" ht="13.9" customHeight="1">
      <c r="A72" s="4"/>
      <c r="B72" s="80"/>
      <c r="C72" s="46"/>
      <c r="D72" s="46"/>
      <c r="E72" s="46"/>
      <c r="F72" s="46"/>
      <c r="G72" s="46"/>
      <c r="H72" s="46"/>
      <c r="I72" s="46"/>
      <c r="J72" s="46"/>
      <c r="K72" s="114"/>
      <c r="L72" s="46"/>
      <c r="M72" s="46"/>
      <c r="N72" s="46"/>
      <c r="O72" s="46"/>
      <c r="P72" s="81"/>
    </row>
    <row r="73" spans="1:16" ht="13.9" customHeight="1">
      <c r="A73" s="4"/>
      <c r="B73" s="43" t="s">
        <v>17</v>
      </c>
      <c r="C73" s="180"/>
      <c r="D73" s="180" t="s">
        <v>48</v>
      </c>
      <c r="E73" s="182">
        <f>IF(M49&lt;=1,M49,"?")</f>
        <v>0.48644434546148052</v>
      </c>
      <c r="F73" s="184" t="s">
        <v>26</v>
      </c>
      <c r="G73" s="184"/>
      <c r="H73" s="184"/>
      <c r="I73" s="184"/>
      <c r="J73" s="180" t="s">
        <v>48</v>
      </c>
      <c r="K73" s="182">
        <f>IF(M48&lt;=1,M48,"?")</f>
        <v>0.60805543182685062</v>
      </c>
      <c r="L73" s="184" t="s">
        <v>27</v>
      </c>
      <c r="M73" s="184"/>
      <c r="N73" s="184"/>
      <c r="O73" s="184"/>
      <c r="P73" s="43" t="s">
        <v>17</v>
      </c>
    </row>
    <row r="74" spans="1:16" ht="13.9" customHeight="1">
      <c r="A74" s="4"/>
      <c r="B74" s="42" t="str">
        <f>INDEX(D48:D51,C47)</f>
        <v>Gefahr !</v>
      </c>
      <c r="C74" s="181"/>
      <c r="D74" s="181"/>
      <c r="E74" s="183"/>
      <c r="F74" s="185"/>
      <c r="G74" s="185"/>
      <c r="H74" s="185"/>
      <c r="I74" s="185"/>
      <c r="J74" s="181"/>
      <c r="K74" s="183"/>
      <c r="L74" s="185"/>
      <c r="M74" s="185"/>
      <c r="N74" s="185"/>
      <c r="O74" s="185"/>
      <c r="P74" s="41" t="str">
        <f>INDEX(O48:O51,N47)</f>
        <v>unkritisch</v>
      </c>
    </row>
    <row r="75" spans="1:16" ht="13.9" customHeight="1">
      <c r="A75" s="4" t="s">
        <v>15</v>
      </c>
      <c r="B75" s="137" t="s">
        <v>28</v>
      </c>
      <c r="C75" s="137"/>
      <c r="D75" s="137" t="s">
        <v>129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</row>
    <row r="76" spans="1:16" ht="13.9" customHeight="1">
      <c r="A76" s="4" t="s">
        <v>15</v>
      </c>
      <c r="B76" s="135"/>
      <c r="C76" s="135"/>
      <c r="D76" s="135" t="s">
        <v>54</v>
      </c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9" spans="1:16" ht="13.9" customHeight="1">
      <c r="B79" s="4" t="s">
        <v>58</v>
      </c>
    </row>
    <row r="80" spans="1:16" ht="13.9" customHeight="1">
      <c r="A80" s="54"/>
      <c r="B80" s="52">
        <v>0.8</v>
      </c>
      <c r="C80" s="84" t="s">
        <v>36</v>
      </c>
      <c r="D80" s="84"/>
      <c r="E80" s="84"/>
      <c r="F80" s="85"/>
    </row>
    <row r="81" spans="1:6" ht="13.9" customHeight="1">
      <c r="A81" s="1"/>
      <c r="B81" s="94"/>
      <c r="C81" s="84" t="s">
        <v>37</v>
      </c>
      <c r="F81" s="85"/>
    </row>
    <row r="82" spans="1:6" ht="13.9" customHeight="1">
      <c r="A82" s="1"/>
      <c r="B82" s="53">
        <f>IF(B80&lt;&gt;0.8,"Achtung!",0)</f>
        <v>0</v>
      </c>
      <c r="C82" s="116" t="s">
        <v>49</v>
      </c>
    </row>
  </sheetData>
  <sheetProtection algorithmName="SHA-512" hashValue="rMivkCMxlHZ8zel+ewvHajMGSHQwvQWpMUoYHJr67wv55fvy/PKhyjyUeRvK6wQC1xX+dprm+vZ1W/wJdNJOJg==" saltValue="k7Li2V1aJJIrIQiA52snzg==" spinCount="100000" sheet="1" objects="1" scenarios="1"/>
  <mergeCells count="19">
    <mergeCell ref="P35:P36"/>
    <mergeCell ref="G36:H36"/>
    <mergeCell ref="B41:N42"/>
    <mergeCell ref="C73:C74"/>
    <mergeCell ref="D73:D74"/>
    <mergeCell ref="E73:E74"/>
    <mergeCell ref="F73:I74"/>
    <mergeCell ref="J73:J74"/>
    <mergeCell ref="K73:K74"/>
    <mergeCell ref="L73:O74"/>
    <mergeCell ref="O35:O36"/>
    <mergeCell ref="B3:N4"/>
    <mergeCell ref="B35:B36"/>
    <mergeCell ref="C35:C36"/>
    <mergeCell ref="D35:E36"/>
    <mergeCell ref="F35:F36"/>
    <mergeCell ref="G35:H35"/>
    <mergeCell ref="I35:I36"/>
    <mergeCell ref="M35:M36"/>
  </mergeCells>
  <conditionalFormatting sqref="G11 G27 G13 G17 G19 G21 G23 G25 G15">
    <cfRule type="expression" dxfId="57" priority="3" stopIfTrue="1">
      <formula>AND($R$3=1,D11&gt;0)</formula>
    </cfRule>
    <cfRule type="expression" dxfId="56" priority="4" stopIfTrue="1">
      <formula>$R$3=1</formula>
    </cfRule>
  </conditionalFormatting>
  <conditionalFormatting sqref="I47:I50 I64:I70">
    <cfRule type="expression" dxfId="55" priority="5" stopIfTrue="1">
      <formula>$R$3=1</formula>
    </cfRule>
  </conditionalFormatting>
  <conditionalFormatting sqref="J51:M51 E51:H51 B3:P4 P74 D33:I34 B33:B34 B35:P36 B74 B28:F32 J5:P34 G30:G32 G5:G8 H5:H32 I5:I7 I31:I32 I9:I29 B12:G12 G10 B14:G14 B16:G16 B18:G18 B20:G20 B22:G22 B24:G24 B26:G26 G28 P41:P72 I71:I74 J67:O67 B5:F10 B41:B72 C67:H67 C70:H74 J70:O74 J52:O64 C52:H64 I51:I63 C41:O46">
    <cfRule type="expression" dxfId="54" priority="6" stopIfTrue="1">
      <formula>$R$3=1</formula>
    </cfRule>
  </conditionalFormatting>
  <conditionalFormatting sqref="C33">
    <cfRule type="cellIs" dxfId="53" priority="7" stopIfTrue="1" operator="greaterThan">
      <formula>0</formula>
    </cfRule>
  </conditionalFormatting>
  <conditionalFormatting sqref="P73">
    <cfRule type="expression" dxfId="52" priority="8" stopIfTrue="1">
      <formula>$K$73&gt;0.6</formula>
    </cfRule>
    <cfRule type="expression" dxfId="51" priority="9" stopIfTrue="1">
      <formula>$K$73&gt;0.4</formula>
    </cfRule>
    <cfRule type="expression" dxfId="50" priority="10" stopIfTrue="1">
      <formula>$K$73&lt;=0.4</formula>
    </cfRule>
  </conditionalFormatting>
  <conditionalFormatting sqref="C34">
    <cfRule type="expression" dxfId="49" priority="11" stopIfTrue="1">
      <formula>$C$33&gt;0</formula>
    </cfRule>
  </conditionalFormatting>
  <conditionalFormatting sqref="D13 D11 D15 D17 D19 D21 D23 D27 D25">
    <cfRule type="expression" dxfId="48" priority="12" stopIfTrue="1">
      <formula>AND($R$3=1,D11&gt;0)</formula>
    </cfRule>
  </conditionalFormatting>
  <conditionalFormatting sqref="C82">
    <cfRule type="expression" dxfId="47" priority="13" stopIfTrue="1">
      <formula>$B$80&lt;&gt;0.8</formula>
    </cfRule>
  </conditionalFormatting>
  <conditionalFormatting sqref="B73">
    <cfRule type="expression" dxfId="46" priority="14" stopIfTrue="1">
      <formula>$E$73&gt;0.6</formula>
    </cfRule>
    <cfRule type="expression" dxfId="45" priority="15" stopIfTrue="1">
      <formula>$E$73&gt;0.4</formula>
    </cfRule>
    <cfRule type="expression" dxfId="44" priority="16" stopIfTrue="1">
      <formula>$E$73&lt;=0.4</formula>
    </cfRule>
  </conditionalFormatting>
  <conditionalFormatting sqref="B37:P39 B1:P1 B75:P76">
    <cfRule type="expression" dxfId="43" priority="17" stopIfTrue="1">
      <formula>$R$1=1</formula>
    </cfRule>
  </conditionalFormatting>
  <conditionalFormatting sqref="U24">
    <cfRule type="expression" dxfId="42" priority="2" stopIfTrue="1">
      <formula>$R$3=1</formula>
    </cfRule>
  </conditionalFormatting>
  <conditionalFormatting sqref="U16">
    <cfRule type="expression" dxfId="41" priority="1" stopIfTrue="1">
      <formula>$R$3=1</formula>
    </cfRule>
  </conditionalFormatting>
  <dataValidations count="2">
    <dataValidation type="decimal" allowBlank="1" showInputMessage="1" showErrorMessage="1" sqref="B80">
      <formula1>0.6499</formula1>
      <formula2>0.9501</formula2>
    </dataValidation>
    <dataValidation type="decimal" allowBlank="1" showInputMessage="1" showErrorMessage="1" sqref="I8 I30">
      <formula1>-20</formula1>
      <formula2>30</formula2>
    </dataValidation>
  </dataValidations>
  <pageMargins left="0.78740157480314965" right="0.19685039370078741" top="0.78740157480314965" bottom="0.78740157480314965" header="0.51181102362204722" footer="0.51181102362204722"/>
  <pageSetup paperSize="9" scale="70" orientation="portrait" horizontalDpi="4294967294" r:id="rId1"/>
  <headerFooter>
    <oddFooter>&amp;L&amp;D&amp;C&amp;A&amp;R&amp;F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5">
    <tabColor theme="7"/>
  </sheetPr>
  <dimension ref="A1:V82"/>
  <sheetViews>
    <sheetView showGridLines="0" showZeros="0" zoomScaleNormal="100" workbookViewId="0"/>
  </sheetViews>
  <sheetFormatPr baseColWidth="10" defaultColWidth="8.81640625" defaultRowHeight="13.9" customHeight="1"/>
  <cols>
    <col min="1" max="1" width="4.81640625" style="63" customWidth="1"/>
    <col min="2" max="16" width="8.81640625" style="63"/>
    <col min="17" max="17" width="4.81640625" style="63" customWidth="1"/>
    <col min="18" max="16384" width="8.81640625" style="63"/>
  </cols>
  <sheetData>
    <row r="1" spans="1:22" ht="13.9" customHeight="1">
      <c r="A1" s="160"/>
      <c r="B1" s="135" t="s">
        <v>117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R1" s="130">
        <f>IF(R2=FALSE,0,1)</f>
        <v>1</v>
      </c>
      <c r="S1" s="84"/>
    </row>
    <row r="2" spans="1:22" ht="13.9" customHeight="1">
      <c r="A2" s="4"/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R2" s="56" t="b">
        <v>1</v>
      </c>
      <c r="S2" s="159" t="s">
        <v>34</v>
      </c>
    </row>
    <row r="3" spans="1:22" ht="13.9" customHeight="1">
      <c r="A3" s="4"/>
      <c r="B3" s="161" t="s">
        <v>121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8"/>
      <c r="P3" s="9" t="s">
        <v>116</v>
      </c>
      <c r="R3" s="130">
        <f>IF(R4=FALSE,0,1)</f>
        <v>1</v>
      </c>
      <c r="S3" s="84"/>
    </row>
    <row r="4" spans="1:22" ht="13.9" customHeight="1">
      <c r="A4" s="4"/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0"/>
      <c r="P4" s="11"/>
      <c r="R4" s="56" t="b">
        <v>1</v>
      </c>
      <c r="S4" s="131" t="s">
        <v>115</v>
      </c>
    </row>
    <row r="5" spans="1:22" ht="13.9" customHeight="1">
      <c r="A5" s="4"/>
      <c r="B5" s="12"/>
      <c r="C5" s="13"/>
      <c r="D5" s="13" t="s">
        <v>30</v>
      </c>
      <c r="E5" s="13" t="s">
        <v>0</v>
      </c>
      <c r="F5" s="14" t="s">
        <v>1</v>
      </c>
      <c r="G5" s="13" t="s">
        <v>33</v>
      </c>
      <c r="H5" s="13" t="s">
        <v>31</v>
      </c>
      <c r="I5" s="13" t="s">
        <v>35</v>
      </c>
      <c r="J5" s="64"/>
      <c r="K5" s="65"/>
      <c r="L5" s="65"/>
      <c r="M5" s="65"/>
      <c r="N5" s="65"/>
      <c r="O5" s="65"/>
      <c r="P5" s="66"/>
    </row>
    <row r="6" spans="1:22" ht="13.9" customHeight="1">
      <c r="A6" s="4"/>
      <c r="B6" s="12"/>
      <c r="C6" s="13"/>
      <c r="D6" s="16" t="s">
        <v>3</v>
      </c>
      <c r="E6" s="16" t="s">
        <v>2</v>
      </c>
      <c r="F6" s="16" t="s">
        <v>120</v>
      </c>
      <c r="G6" s="16" t="s">
        <v>3</v>
      </c>
      <c r="H6" s="13" t="s">
        <v>12</v>
      </c>
      <c r="I6" s="13" t="s">
        <v>11</v>
      </c>
      <c r="J6" s="67"/>
      <c r="K6" s="68"/>
      <c r="L6" s="69"/>
      <c r="M6" s="70"/>
      <c r="N6" s="70"/>
      <c r="O6" s="60">
        <v>0.75</v>
      </c>
      <c r="P6" s="71"/>
    </row>
    <row r="7" spans="1:22" ht="13.9" customHeight="1">
      <c r="A7" s="4"/>
      <c r="B7" s="12" t="s">
        <v>32</v>
      </c>
      <c r="C7" s="13"/>
      <c r="D7" s="16"/>
      <c r="E7" s="16"/>
      <c r="F7" s="16"/>
      <c r="G7" s="16"/>
      <c r="H7" s="13"/>
      <c r="I7" s="13"/>
      <c r="J7" s="67"/>
      <c r="K7" s="68"/>
      <c r="L7" s="69"/>
      <c r="M7" s="70"/>
      <c r="N7" s="70"/>
      <c r="O7" s="70"/>
      <c r="P7" s="71"/>
    </row>
    <row r="8" spans="1:22" ht="13.9" customHeight="1">
      <c r="A8" s="4"/>
      <c r="B8" s="12"/>
      <c r="C8" s="16"/>
      <c r="D8" s="16"/>
      <c r="E8" s="16"/>
      <c r="F8" s="16"/>
      <c r="G8" s="16"/>
      <c r="H8" s="17" t="s">
        <v>10</v>
      </c>
      <c r="I8" s="5">
        <v>20</v>
      </c>
      <c r="J8" s="58">
        <v>-0.12</v>
      </c>
      <c r="K8" s="61"/>
      <c r="L8" s="60">
        <f>I8</f>
        <v>20</v>
      </c>
      <c r="M8" s="46"/>
      <c r="N8" s="46"/>
      <c r="O8" s="72">
        <f>L8</f>
        <v>20</v>
      </c>
      <c r="P8" s="73">
        <f>J8</f>
        <v>-0.12</v>
      </c>
    </row>
    <row r="9" spans="1:22" ht="13.9" customHeight="1">
      <c r="A9" s="4"/>
      <c r="B9" s="12" t="s">
        <v>6</v>
      </c>
      <c r="C9" s="19"/>
      <c r="D9" s="16"/>
      <c r="E9" s="16"/>
      <c r="F9" s="17" t="s">
        <v>5</v>
      </c>
      <c r="G9" s="6">
        <v>0.25</v>
      </c>
      <c r="H9" s="20">
        <f>IF(G$33&gt;0,G9/G$33,0)</f>
        <v>0.31227969686288332</v>
      </c>
      <c r="I9" s="18"/>
      <c r="J9" s="58">
        <f>E9</f>
        <v>0</v>
      </c>
      <c r="K9" s="61">
        <v>28</v>
      </c>
      <c r="L9" s="60">
        <f>L10</f>
        <v>12.193007578427917</v>
      </c>
      <c r="M9" s="62">
        <f t="shared" ref="M9:M28" si="0">$K$9</f>
        <v>28</v>
      </c>
      <c r="N9" s="61">
        <f t="shared" ref="N9:N28" si="1">$K$10</f>
        <v>-18</v>
      </c>
      <c r="O9" s="72">
        <f>L9+(L8-L9)*O6</f>
        <v>18.048251894606977</v>
      </c>
      <c r="P9" s="73">
        <f>P8-(P8*O6)</f>
        <v>-0.03</v>
      </c>
      <c r="R9" s="63" t="s">
        <v>118</v>
      </c>
    </row>
    <row r="10" spans="1:22" ht="13.9" customHeight="1">
      <c r="A10" s="4"/>
      <c r="B10" s="12"/>
      <c r="C10" s="15"/>
      <c r="D10" s="15"/>
      <c r="E10" s="15"/>
      <c r="F10" s="15"/>
      <c r="G10" s="15"/>
      <c r="H10" s="21"/>
      <c r="I10" s="7">
        <f>I$8-SUM(H$9:H10)*I$33</f>
        <v>12.193007578427917</v>
      </c>
      <c r="J10" s="59">
        <f>J9</f>
        <v>0</v>
      </c>
      <c r="K10" s="61">
        <v>-18</v>
      </c>
      <c r="L10" s="60">
        <f>I10</f>
        <v>12.193007578427917</v>
      </c>
      <c r="M10" s="62">
        <f t="shared" si="0"/>
        <v>28</v>
      </c>
      <c r="N10" s="61">
        <f t="shared" si="1"/>
        <v>-18</v>
      </c>
      <c r="O10" s="72">
        <f t="shared" ref="O10:O28" si="2">L10</f>
        <v>12.193007578427917</v>
      </c>
      <c r="P10" s="73">
        <f>J10</f>
        <v>0</v>
      </c>
    </row>
    <row r="11" spans="1:22" ht="13.9" customHeight="1">
      <c r="A11" s="51"/>
      <c r="B11" s="132">
        <f>IF($R$15=1,"Gipskarton",0)</f>
        <v>0</v>
      </c>
      <c r="C11" s="133"/>
      <c r="D11" s="6"/>
      <c r="E11" s="6">
        <f>IF($R$15=1,0.012,0)</f>
        <v>0</v>
      </c>
      <c r="F11" s="6">
        <f>IF($R$15=1,0.21,0)</f>
        <v>0</v>
      </c>
      <c r="G11" s="16">
        <f>IF(D11&gt;0,D11,IF(F11&gt;0,E11/F11,0))</f>
        <v>0</v>
      </c>
      <c r="H11" s="20">
        <f>IF(G$33&gt;0,G11/G$33,0)</f>
        <v>0</v>
      </c>
      <c r="I11" s="7"/>
      <c r="J11" s="58">
        <f>E11+J9</f>
        <v>0</v>
      </c>
      <c r="K11" s="61">
        <f>$K$10</f>
        <v>-18</v>
      </c>
      <c r="L11" s="60">
        <f>L12</f>
        <v>12.193007578427917</v>
      </c>
      <c r="M11" s="62">
        <f t="shared" si="0"/>
        <v>28</v>
      </c>
      <c r="N11" s="61">
        <f t="shared" si="1"/>
        <v>-18</v>
      </c>
      <c r="O11" s="72">
        <f t="shared" si="2"/>
        <v>12.193007578427917</v>
      </c>
      <c r="P11" s="73"/>
    </row>
    <row r="12" spans="1:22" ht="13.9" customHeight="1">
      <c r="A12" s="51"/>
      <c r="B12" s="74"/>
      <c r="C12" s="75"/>
      <c r="D12" s="75"/>
      <c r="E12" s="75"/>
      <c r="F12" s="75"/>
      <c r="G12" s="22"/>
      <c r="H12" s="15"/>
      <c r="I12" s="7">
        <f>I$8-SUM(H$9:H12)*I$33</f>
        <v>12.193007578427917</v>
      </c>
      <c r="J12" s="59">
        <f>J11</f>
        <v>0</v>
      </c>
      <c r="K12" s="61">
        <f>$K$9</f>
        <v>28</v>
      </c>
      <c r="L12" s="60">
        <f>I12</f>
        <v>12.193007578427917</v>
      </c>
      <c r="M12" s="62">
        <f t="shared" si="0"/>
        <v>28</v>
      </c>
      <c r="N12" s="61">
        <f t="shared" si="1"/>
        <v>-18</v>
      </c>
      <c r="O12" s="72">
        <f t="shared" si="2"/>
        <v>12.193007578427917</v>
      </c>
      <c r="P12" s="73"/>
      <c r="R12" s="117"/>
      <c r="S12" s="119" t="s">
        <v>38</v>
      </c>
      <c r="U12" s="119"/>
      <c r="V12" s="119" t="s">
        <v>130</v>
      </c>
    </row>
    <row r="13" spans="1:22" ht="13.9" customHeight="1">
      <c r="A13" s="51"/>
      <c r="B13" s="132">
        <f>IF($R$15=1,"Dämmung",0)</f>
        <v>0</v>
      </c>
      <c r="C13" s="133"/>
      <c r="D13" s="6"/>
      <c r="E13" s="6">
        <f>IF($R$15=1,R$18/1000,0)</f>
        <v>0</v>
      </c>
      <c r="F13" s="6">
        <f>IF($R$15=1,U16,0)</f>
        <v>0</v>
      </c>
      <c r="G13" s="16">
        <f>IF(D13&gt;0,D13,IF(F13&gt;0,E13/F13,0))</f>
        <v>0</v>
      </c>
      <c r="H13" s="20">
        <f>IF(G$33&gt;0,G13/G$33,0)</f>
        <v>0</v>
      </c>
      <c r="I13" s="7"/>
      <c r="J13" s="58">
        <f>E13+J11</f>
        <v>0</v>
      </c>
      <c r="K13" s="61">
        <f>$K$9</f>
        <v>28</v>
      </c>
      <c r="L13" s="60">
        <f>L14</f>
        <v>12.193007578427917</v>
      </c>
      <c r="M13" s="62">
        <f t="shared" si="0"/>
        <v>28</v>
      </c>
      <c r="N13" s="61">
        <f t="shared" si="1"/>
        <v>-18</v>
      </c>
      <c r="O13" s="72">
        <f t="shared" si="2"/>
        <v>12.193007578427917</v>
      </c>
      <c r="P13" s="73"/>
      <c r="R13" s="93"/>
    </row>
    <row r="14" spans="1:22" ht="13.9" customHeight="1">
      <c r="A14" s="51"/>
      <c r="B14" s="74"/>
      <c r="C14" s="75"/>
      <c r="D14" s="75"/>
      <c r="E14" s="75"/>
      <c r="F14" s="75"/>
      <c r="G14" s="22"/>
      <c r="H14" s="15"/>
      <c r="I14" s="7">
        <f>I$8-SUM(H$9:H14)*I$33</f>
        <v>12.193007578427917</v>
      </c>
      <c r="J14" s="59">
        <f>J13</f>
        <v>0</v>
      </c>
      <c r="K14" s="61">
        <f>$K$10</f>
        <v>-18</v>
      </c>
      <c r="L14" s="60">
        <f>I14</f>
        <v>12.193007578427917</v>
      </c>
      <c r="M14" s="62">
        <f t="shared" si="0"/>
        <v>28</v>
      </c>
      <c r="N14" s="61">
        <f t="shared" si="1"/>
        <v>-18</v>
      </c>
      <c r="O14" s="72">
        <f t="shared" si="2"/>
        <v>12.193007578427917</v>
      </c>
      <c r="P14" s="73"/>
      <c r="R14" s="115"/>
    </row>
    <row r="15" spans="1:22" ht="13.9" customHeight="1">
      <c r="A15" s="51"/>
      <c r="B15" s="132"/>
      <c r="C15" s="133"/>
      <c r="D15" s="6"/>
      <c r="E15" s="6"/>
      <c r="F15" s="6"/>
      <c r="G15" s="16">
        <f>IF(D15&gt;0,D15,IF(F15&gt;0,E15/F15,0))</f>
        <v>0</v>
      </c>
      <c r="H15" s="20">
        <f>IF(G$33&gt;0,G15/G$33,0)</f>
        <v>0</v>
      </c>
      <c r="I15" s="7"/>
      <c r="J15" s="58">
        <f>E15+J13</f>
        <v>0</v>
      </c>
      <c r="K15" s="61">
        <f>$K$10</f>
        <v>-18</v>
      </c>
      <c r="L15" s="60">
        <f>L16</f>
        <v>12.193007578427917</v>
      </c>
      <c r="M15" s="62">
        <f t="shared" si="0"/>
        <v>28</v>
      </c>
      <c r="N15" s="61">
        <f t="shared" si="1"/>
        <v>-18</v>
      </c>
      <c r="O15" s="72">
        <f t="shared" si="2"/>
        <v>12.193007578427917</v>
      </c>
      <c r="P15" s="73"/>
      <c r="R15" s="120">
        <f>IF(R16=FALSE,0,1)</f>
        <v>0</v>
      </c>
      <c r="S15" s="116" t="s">
        <v>55</v>
      </c>
    </row>
    <row r="16" spans="1:22" ht="13.9" customHeight="1">
      <c r="A16" s="51"/>
      <c r="B16" s="74"/>
      <c r="C16" s="75"/>
      <c r="D16" s="75"/>
      <c r="E16" s="75"/>
      <c r="F16" s="75"/>
      <c r="G16" s="22"/>
      <c r="H16" s="15"/>
      <c r="I16" s="7">
        <f>I$8-SUM(H$9:H16)*I$33</f>
        <v>12.193007578427917</v>
      </c>
      <c r="J16" s="59">
        <f>J15</f>
        <v>0</v>
      </c>
      <c r="K16" s="61">
        <f>$K$9</f>
        <v>28</v>
      </c>
      <c r="L16" s="60">
        <f>I16</f>
        <v>12.193007578427917</v>
      </c>
      <c r="M16" s="62">
        <f t="shared" si="0"/>
        <v>28</v>
      </c>
      <c r="N16" s="61">
        <f t="shared" si="1"/>
        <v>-18</v>
      </c>
      <c r="O16" s="72">
        <f t="shared" si="2"/>
        <v>12.193007578427917</v>
      </c>
      <c r="P16" s="73"/>
      <c r="R16" s="56" t="b">
        <v>0</v>
      </c>
      <c r="S16" s="118" t="str">
        <f>R18/10&amp;" cm"</f>
        <v>8 cm</v>
      </c>
      <c r="U16" s="158">
        <v>3.5000000000000003E-2</v>
      </c>
      <c r="V16" s="155" t="s">
        <v>127</v>
      </c>
    </row>
    <row r="17" spans="1:22" ht="13.9" customHeight="1">
      <c r="A17" s="51"/>
      <c r="B17" s="132" t="s">
        <v>7</v>
      </c>
      <c r="C17" s="133"/>
      <c r="D17" s="6"/>
      <c r="E17" s="6">
        <v>1.4999999999999999E-2</v>
      </c>
      <c r="F17" s="157">
        <v>0.7</v>
      </c>
      <c r="G17" s="16">
        <f>IF(D17&gt;0,D17,IF(F17&gt;0,E17/F17,0))</f>
        <v>2.1428571428571429E-2</v>
      </c>
      <c r="H17" s="20">
        <f>IF(G$33&gt;0,G17/G$33,0)</f>
        <v>2.6766831159675711E-2</v>
      </c>
      <c r="I17" s="7"/>
      <c r="J17" s="58">
        <f>E17+J15</f>
        <v>1.4999999999999999E-2</v>
      </c>
      <c r="K17" s="61">
        <f>$K$9</f>
        <v>28</v>
      </c>
      <c r="L17" s="60">
        <f>L18</f>
        <v>11.523836799436024</v>
      </c>
      <c r="M17" s="62">
        <f t="shared" si="0"/>
        <v>28</v>
      </c>
      <c r="N17" s="61">
        <f t="shared" si="1"/>
        <v>-18</v>
      </c>
      <c r="O17" s="72">
        <f t="shared" si="2"/>
        <v>11.523836799436024</v>
      </c>
      <c r="P17" s="73"/>
    </row>
    <row r="18" spans="1:22" ht="13.9" customHeight="1">
      <c r="A18" s="51"/>
      <c r="B18" s="74"/>
      <c r="C18" s="75"/>
      <c r="D18" s="75"/>
      <c r="E18" s="75"/>
      <c r="F18" s="75"/>
      <c r="G18" s="22"/>
      <c r="H18" s="15"/>
      <c r="I18" s="7">
        <f>I$8-SUM(H$9:H18)*I$33</f>
        <v>11.523836799436024</v>
      </c>
      <c r="J18" s="59">
        <f>J17</f>
        <v>1.4999999999999999E-2</v>
      </c>
      <c r="K18" s="61">
        <f>$K$10</f>
        <v>-18</v>
      </c>
      <c r="L18" s="60">
        <f>I18</f>
        <v>11.523836799436024</v>
      </c>
      <c r="M18" s="62">
        <f t="shared" si="0"/>
        <v>28</v>
      </c>
      <c r="N18" s="61">
        <f t="shared" si="1"/>
        <v>-18</v>
      </c>
      <c r="O18" s="72">
        <f t="shared" si="2"/>
        <v>11.523836799436024</v>
      </c>
      <c r="P18" s="73"/>
      <c r="R18" s="56">
        <v>80</v>
      </c>
    </row>
    <row r="19" spans="1:22" ht="13.9" customHeight="1">
      <c r="A19" s="4" t="s">
        <v>15</v>
      </c>
      <c r="B19" s="132" t="s">
        <v>8</v>
      </c>
      <c r="C19" s="133"/>
      <c r="D19" s="6"/>
      <c r="E19" s="6">
        <v>0.38</v>
      </c>
      <c r="F19" s="6">
        <v>0.81</v>
      </c>
      <c r="G19" s="16">
        <f>IF(D19&gt;0,D19,IF(F19&gt;0,E19/F19,0))</f>
        <v>0.46913580246913578</v>
      </c>
      <c r="H19" s="20">
        <f>IF(G$33&gt;0,G19/G$33,0)</f>
        <v>0.58600634473034885</v>
      </c>
      <c r="I19" s="7"/>
      <c r="J19" s="58">
        <f>E19+J17</f>
        <v>0.39500000000000002</v>
      </c>
      <c r="K19" s="61">
        <f>$K$10</f>
        <v>-18</v>
      </c>
      <c r="L19" s="60">
        <f>L20</f>
        <v>-3.1263218188226993</v>
      </c>
      <c r="M19" s="62">
        <f t="shared" si="0"/>
        <v>28</v>
      </c>
      <c r="N19" s="61">
        <f t="shared" si="1"/>
        <v>-18</v>
      </c>
      <c r="O19" s="72">
        <f t="shared" si="2"/>
        <v>-3.1263218188226993</v>
      </c>
      <c r="P19" s="73"/>
    </row>
    <row r="20" spans="1:22" ht="13.9" customHeight="1">
      <c r="A20" s="51"/>
      <c r="B20" s="74"/>
      <c r="C20" s="75"/>
      <c r="D20" s="75"/>
      <c r="E20" s="75"/>
      <c r="F20" s="75"/>
      <c r="G20" s="22"/>
      <c r="H20" s="15"/>
      <c r="I20" s="7">
        <f>I$8-SUM(H$9:H20)*I$33</f>
        <v>-3.1263218188226993</v>
      </c>
      <c r="J20" s="59">
        <f>J19</f>
        <v>0.39500000000000002</v>
      </c>
      <c r="K20" s="61">
        <f>$K$9</f>
        <v>28</v>
      </c>
      <c r="L20" s="60">
        <f>I20</f>
        <v>-3.1263218188226993</v>
      </c>
      <c r="M20" s="62">
        <f t="shared" si="0"/>
        <v>28</v>
      </c>
      <c r="N20" s="61">
        <f t="shared" si="1"/>
        <v>-18</v>
      </c>
      <c r="O20" s="72">
        <f t="shared" si="2"/>
        <v>-3.1263218188226993</v>
      </c>
      <c r="P20" s="73"/>
    </row>
    <row r="21" spans="1:22" ht="13.9" customHeight="1">
      <c r="A21" s="51"/>
      <c r="B21" s="132" t="s">
        <v>57</v>
      </c>
      <c r="C21" s="133"/>
      <c r="D21" s="6"/>
      <c r="E21" s="6">
        <v>0.02</v>
      </c>
      <c r="F21" s="6">
        <v>1</v>
      </c>
      <c r="G21" s="16">
        <f>IF(D21&gt;0,D21,IF(F21&gt;0,E21/F21,0))</f>
        <v>0.02</v>
      </c>
      <c r="H21" s="20">
        <f>IF(G$33&gt;0,G21/G$33,0)</f>
        <v>2.4982375749030665E-2</v>
      </c>
      <c r="I21" s="7"/>
      <c r="J21" s="58">
        <f>E21+J19</f>
        <v>0.41500000000000004</v>
      </c>
      <c r="K21" s="61">
        <f>$K$9</f>
        <v>28</v>
      </c>
      <c r="L21" s="60">
        <f>L22</f>
        <v>-3.7508812125484638</v>
      </c>
      <c r="M21" s="62">
        <f t="shared" si="0"/>
        <v>28</v>
      </c>
      <c r="N21" s="61">
        <f t="shared" si="1"/>
        <v>-18</v>
      </c>
      <c r="O21" s="72">
        <f t="shared" si="2"/>
        <v>-3.7508812125484638</v>
      </c>
      <c r="P21" s="73"/>
    </row>
    <row r="22" spans="1:22" ht="13.9" customHeight="1">
      <c r="A22" s="51"/>
      <c r="B22" s="74"/>
      <c r="C22" s="75"/>
      <c r="D22" s="75"/>
      <c r="E22" s="75"/>
      <c r="F22" s="75"/>
      <c r="G22" s="22"/>
      <c r="H22" s="15"/>
      <c r="I22" s="7">
        <f>I$8-SUM(H$9:H22)*I$33</f>
        <v>-3.7508812125484638</v>
      </c>
      <c r="J22" s="59">
        <f>J21</f>
        <v>0.41500000000000004</v>
      </c>
      <c r="K22" s="61">
        <f>$K$10</f>
        <v>-18</v>
      </c>
      <c r="L22" s="60">
        <f>I22</f>
        <v>-3.7508812125484638</v>
      </c>
      <c r="M22" s="62">
        <f t="shared" si="0"/>
        <v>28</v>
      </c>
      <c r="N22" s="61">
        <f t="shared" si="1"/>
        <v>-18</v>
      </c>
      <c r="O22" s="72">
        <f t="shared" si="2"/>
        <v>-3.7508812125484638</v>
      </c>
      <c r="P22" s="73"/>
      <c r="R22" s="115"/>
    </row>
    <row r="23" spans="1:22" ht="13.9" customHeight="1">
      <c r="A23" s="51"/>
      <c r="B23" s="132"/>
      <c r="C23" s="133"/>
      <c r="D23" s="6"/>
      <c r="E23" s="6"/>
      <c r="F23" s="6"/>
      <c r="G23" s="16">
        <f>IF(D23&gt;0,D23,IF(F23&gt;0,E23/F23,0))</f>
        <v>0</v>
      </c>
      <c r="H23" s="20">
        <f>IF(G$33&gt;0,G23/G$33,0)</f>
        <v>0</v>
      </c>
      <c r="I23" s="7"/>
      <c r="J23" s="58">
        <f>E23+J21</f>
        <v>0.41500000000000004</v>
      </c>
      <c r="K23" s="61">
        <f>$K$10</f>
        <v>-18</v>
      </c>
      <c r="L23" s="60">
        <f>L24</f>
        <v>-3.7508812125484638</v>
      </c>
      <c r="M23" s="62">
        <f t="shared" si="0"/>
        <v>28</v>
      </c>
      <c r="N23" s="61">
        <f t="shared" si="1"/>
        <v>-18</v>
      </c>
      <c r="O23" s="72">
        <f t="shared" si="2"/>
        <v>-3.7508812125484638</v>
      </c>
      <c r="P23" s="73"/>
      <c r="R23" s="120">
        <f>IF(R24=FALSE,0,1)</f>
        <v>0</v>
      </c>
      <c r="S23" s="116" t="s">
        <v>56</v>
      </c>
    </row>
    <row r="24" spans="1:22" ht="13.9" customHeight="1">
      <c r="A24" s="51"/>
      <c r="B24" s="74"/>
      <c r="C24" s="75"/>
      <c r="D24" s="75"/>
      <c r="E24" s="75"/>
      <c r="F24" s="75"/>
      <c r="G24" s="22"/>
      <c r="H24" s="15"/>
      <c r="I24" s="7">
        <f>I$8-SUM(H$9:H24)*I$33</f>
        <v>-3.7508812125484638</v>
      </c>
      <c r="J24" s="59">
        <f>J23</f>
        <v>0.41500000000000004</v>
      </c>
      <c r="K24" s="61">
        <f>$K$9</f>
        <v>28</v>
      </c>
      <c r="L24" s="60">
        <f>I24</f>
        <v>-3.7508812125484638</v>
      </c>
      <c r="M24" s="62">
        <f t="shared" si="0"/>
        <v>28</v>
      </c>
      <c r="N24" s="61">
        <f t="shared" si="1"/>
        <v>-18</v>
      </c>
      <c r="O24" s="72">
        <f t="shared" si="2"/>
        <v>-3.7508812125484638</v>
      </c>
      <c r="P24" s="73"/>
      <c r="R24" s="56" t="b">
        <v>0</v>
      </c>
      <c r="S24" s="118" t="str">
        <f>R26/10&amp;" cm"</f>
        <v>12 cm</v>
      </c>
      <c r="U24" s="158">
        <v>3.5000000000000003E-2</v>
      </c>
      <c r="V24" s="155" t="s">
        <v>127</v>
      </c>
    </row>
    <row r="25" spans="1:22" ht="13.9" customHeight="1">
      <c r="A25" s="51"/>
      <c r="B25" s="132">
        <f>IF($R$23=1,"Dämmung WDVS",0)</f>
        <v>0</v>
      </c>
      <c r="C25" s="133"/>
      <c r="D25" s="6"/>
      <c r="E25" s="6">
        <f>IF($R$23=1,R$26/1000,0)</f>
        <v>0</v>
      </c>
      <c r="F25" s="6">
        <f>IF($R$23=1,U24,0)</f>
        <v>0</v>
      </c>
      <c r="G25" s="16">
        <f>IF(D25&gt;0,D25,IF(F25&gt;0,E25/F25,0))</f>
        <v>0</v>
      </c>
      <c r="H25" s="20">
        <f>IF(G$33&gt;0,G25/G$33,0)</f>
        <v>0</v>
      </c>
      <c r="I25" s="7"/>
      <c r="J25" s="58">
        <f>E25+J23</f>
        <v>0.41500000000000004</v>
      </c>
      <c r="K25" s="61">
        <f>$K$9</f>
        <v>28</v>
      </c>
      <c r="L25" s="60">
        <f>L26</f>
        <v>-3.7508812125484638</v>
      </c>
      <c r="M25" s="62">
        <f t="shared" si="0"/>
        <v>28</v>
      </c>
      <c r="N25" s="61">
        <f t="shared" si="1"/>
        <v>-18</v>
      </c>
      <c r="O25" s="72">
        <f t="shared" si="2"/>
        <v>-3.7508812125484638</v>
      </c>
      <c r="P25" s="73"/>
    </row>
    <row r="26" spans="1:22" ht="13.9" customHeight="1">
      <c r="A26" s="51"/>
      <c r="B26" s="74"/>
      <c r="C26" s="75"/>
      <c r="D26" s="75"/>
      <c r="E26" s="75"/>
      <c r="F26" s="75"/>
      <c r="G26" s="22"/>
      <c r="H26" s="15"/>
      <c r="I26" s="7">
        <f>I$8-SUM(H$9:H26)*I$33</f>
        <v>-3.7508812125484638</v>
      </c>
      <c r="J26" s="59">
        <f>J25</f>
        <v>0.41500000000000004</v>
      </c>
      <c r="K26" s="61">
        <f>$K$10</f>
        <v>-18</v>
      </c>
      <c r="L26" s="60">
        <f>I26</f>
        <v>-3.7508812125484638</v>
      </c>
      <c r="M26" s="62">
        <f t="shared" si="0"/>
        <v>28</v>
      </c>
      <c r="N26" s="61">
        <f t="shared" si="1"/>
        <v>-18</v>
      </c>
      <c r="O26" s="72">
        <f t="shared" si="2"/>
        <v>-3.7508812125484638</v>
      </c>
      <c r="P26" s="73"/>
      <c r="R26" s="55">
        <v>120</v>
      </c>
    </row>
    <row r="27" spans="1:22" ht="13.9" customHeight="1">
      <c r="A27" s="51"/>
      <c r="B27" s="132">
        <f>IF($R$23=1,"Außenputz",0)</f>
        <v>0</v>
      </c>
      <c r="C27" s="133"/>
      <c r="D27" s="6"/>
      <c r="E27" s="6">
        <f>IF($R$23=1,0.01,0)</f>
        <v>0</v>
      </c>
      <c r="F27" s="6">
        <f>IF($R$23=1,1,0)</f>
        <v>0</v>
      </c>
      <c r="G27" s="16">
        <f>IF(D27&gt;0,D27,IF(F27&gt;0,E27/F27,0))</f>
        <v>0</v>
      </c>
      <c r="H27" s="20">
        <f>IF(G$33&gt;0,G27/G$33,0)</f>
        <v>0</v>
      </c>
      <c r="I27" s="7"/>
      <c r="J27" s="58">
        <f>E27+J25</f>
        <v>0.41500000000000004</v>
      </c>
      <c r="K27" s="61">
        <f>$K$10</f>
        <v>-18</v>
      </c>
      <c r="L27" s="60">
        <f>L28</f>
        <v>-3.7508812125484638</v>
      </c>
      <c r="M27" s="62">
        <f t="shared" si="0"/>
        <v>28</v>
      </c>
      <c r="N27" s="61">
        <f t="shared" si="1"/>
        <v>-18</v>
      </c>
      <c r="O27" s="72">
        <f t="shared" si="2"/>
        <v>-3.7508812125484638</v>
      </c>
      <c r="P27" s="73"/>
    </row>
    <row r="28" spans="1:22" ht="13.9" customHeight="1">
      <c r="A28" s="4"/>
      <c r="B28" s="12"/>
      <c r="C28" s="22"/>
      <c r="D28" s="22"/>
      <c r="E28" s="22"/>
      <c r="F28" s="22"/>
      <c r="G28" s="76"/>
      <c r="H28" s="13"/>
      <c r="I28" s="7">
        <f>I$8-SUM(H$9:H28)*I$33</f>
        <v>-3.7508812125484638</v>
      </c>
      <c r="J28" s="59">
        <f>J27</f>
        <v>0.41500000000000004</v>
      </c>
      <c r="K28" s="61">
        <f>$K$9</f>
        <v>28</v>
      </c>
      <c r="L28" s="60">
        <f>I28</f>
        <v>-3.7508812125484638</v>
      </c>
      <c r="M28" s="62">
        <f t="shared" si="0"/>
        <v>28</v>
      </c>
      <c r="N28" s="61">
        <f t="shared" si="1"/>
        <v>-18</v>
      </c>
      <c r="O28" s="72">
        <f t="shared" si="2"/>
        <v>-3.7508812125484638</v>
      </c>
      <c r="P28" s="73">
        <f>J28</f>
        <v>0.41500000000000004</v>
      </c>
    </row>
    <row r="29" spans="1:22" ht="13.9" customHeight="1">
      <c r="A29" s="4"/>
      <c r="B29" s="12" t="s">
        <v>53</v>
      </c>
      <c r="C29" s="19"/>
      <c r="D29" s="16"/>
      <c r="E29" s="16"/>
      <c r="F29" s="17" t="s">
        <v>4</v>
      </c>
      <c r="G29" s="6">
        <v>0.04</v>
      </c>
      <c r="H29" s="20">
        <f>IF(G$33&gt;0,G29/G$33,0)</f>
        <v>4.996475149806133E-2</v>
      </c>
      <c r="I29" s="18"/>
      <c r="J29" s="58">
        <f>E29+J27-J8</f>
        <v>0.53500000000000003</v>
      </c>
      <c r="K29" s="61"/>
      <c r="L29" s="60">
        <f>L30</f>
        <v>-5</v>
      </c>
      <c r="M29" s="46"/>
      <c r="N29" s="46"/>
      <c r="O29" s="72">
        <f>O30-(L29-L28)*(1-O6)</f>
        <v>-4.687720303137116</v>
      </c>
      <c r="P29" s="73">
        <f>P30+P8*O6</f>
        <v>0.44500000000000006</v>
      </c>
    </row>
    <row r="30" spans="1:22" ht="13.9" customHeight="1">
      <c r="A30" s="4"/>
      <c r="B30" s="23"/>
      <c r="C30" s="24"/>
      <c r="D30" s="24"/>
      <c r="E30" s="24"/>
      <c r="F30" s="16"/>
      <c r="G30" s="16"/>
      <c r="H30" s="17" t="s">
        <v>52</v>
      </c>
      <c r="I30" s="5">
        <v>-5</v>
      </c>
      <c r="J30" s="59">
        <f>J29</f>
        <v>0.53500000000000003</v>
      </c>
      <c r="K30" s="61"/>
      <c r="L30" s="60">
        <f>I30</f>
        <v>-5</v>
      </c>
      <c r="M30" s="46"/>
      <c r="N30" s="46"/>
      <c r="O30" s="72">
        <f>L30</f>
        <v>-5</v>
      </c>
      <c r="P30" s="73">
        <f>J30</f>
        <v>0.53500000000000003</v>
      </c>
    </row>
    <row r="31" spans="1:22" ht="13.9" customHeight="1">
      <c r="A31" s="4"/>
      <c r="B31" s="25"/>
      <c r="C31" s="26"/>
      <c r="D31" s="24"/>
      <c r="E31" s="24"/>
      <c r="F31" s="27"/>
      <c r="G31" s="16"/>
      <c r="H31" s="28"/>
      <c r="I31" s="28"/>
      <c r="J31" s="47"/>
      <c r="K31" s="44"/>
      <c r="L31" s="45"/>
      <c r="M31" s="46"/>
      <c r="N31" s="46"/>
      <c r="O31" s="46"/>
      <c r="P31" s="71"/>
    </row>
    <row r="32" spans="1:22" ht="13.9" customHeight="1">
      <c r="A32" s="4"/>
      <c r="B32" s="29" t="s">
        <v>23</v>
      </c>
      <c r="C32" s="26"/>
      <c r="D32" s="24"/>
      <c r="E32" s="24" t="s">
        <v>29</v>
      </c>
      <c r="F32" s="24"/>
      <c r="G32" s="24" t="s">
        <v>29</v>
      </c>
      <c r="H32" s="24" t="s">
        <v>29</v>
      </c>
      <c r="I32" s="24" t="s">
        <v>29</v>
      </c>
      <c r="J32" s="47"/>
      <c r="K32" s="44"/>
      <c r="L32" s="45"/>
      <c r="M32" s="46"/>
      <c r="N32" s="46"/>
      <c r="O32" s="46"/>
      <c r="P32" s="71"/>
    </row>
    <row r="33" spans="1:16" ht="13.9" customHeight="1">
      <c r="A33" s="4"/>
      <c r="B33" s="25" t="s">
        <v>22</v>
      </c>
      <c r="C33" s="91">
        <v>0.13</v>
      </c>
      <c r="D33" s="30"/>
      <c r="E33" s="16">
        <f>SUM(E11:E27)</f>
        <v>0.41500000000000004</v>
      </c>
      <c r="F33" s="31"/>
      <c r="G33" s="16">
        <f>SUM(G9:G29)</f>
        <v>0.80056437389770729</v>
      </c>
      <c r="H33" s="32">
        <f>SUM(H9:H29)</f>
        <v>0.99999999999999989</v>
      </c>
      <c r="I33" s="33">
        <f>I8-I30</f>
        <v>25</v>
      </c>
      <c r="J33" s="47"/>
      <c r="K33" s="44"/>
      <c r="L33" s="44"/>
      <c r="M33" s="44"/>
      <c r="N33" s="44"/>
      <c r="O33" s="44"/>
      <c r="P33" s="71"/>
    </row>
    <row r="34" spans="1:16" ht="13.9" customHeight="1">
      <c r="A34" s="4"/>
      <c r="B34" s="25" t="s">
        <v>4</v>
      </c>
      <c r="C34" s="92">
        <v>0.04</v>
      </c>
      <c r="D34" s="17"/>
      <c r="E34" s="17"/>
      <c r="F34" s="17"/>
      <c r="G34" s="13"/>
      <c r="H34" s="15"/>
      <c r="I34" s="15"/>
      <c r="J34" s="48"/>
      <c r="K34" s="49"/>
      <c r="L34" s="49"/>
      <c r="M34" s="49"/>
      <c r="N34" s="49"/>
      <c r="O34" s="49"/>
      <c r="P34" s="50"/>
    </row>
    <row r="35" spans="1:16" ht="13.9" customHeight="1">
      <c r="A35" s="4"/>
      <c r="B35" s="165" t="s">
        <v>9</v>
      </c>
      <c r="C35" s="167">
        <f>IF(AND(C33&gt;0,G33&gt;0),1/(G33-(G9+G29)+(C33+C34)),IF(G33&gt;0,1/G33,0))</f>
        <v>1.4693687156629003</v>
      </c>
      <c r="D35" s="169" t="s">
        <v>119</v>
      </c>
      <c r="E35" s="170"/>
      <c r="F35" s="165" t="s">
        <v>25</v>
      </c>
      <c r="G35" s="173" t="s">
        <v>39</v>
      </c>
      <c r="H35" s="173"/>
      <c r="I35" s="174" t="s">
        <v>13</v>
      </c>
      <c r="J35" s="34">
        <f>I10</f>
        <v>12.193007578427917</v>
      </c>
      <c r="K35" s="35" t="s">
        <v>14</v>
      </c>
      <c r="L35" s="36">
        <f>I30</f>
        <v>-5</v>
      </c>
      <c r="M35" s="174" t="s">
        <v>13</v>
      </c>
      <c r="N35" s="37">
        <f>J35-L35</f>
        <v>17.193007578427917</v>
      </c>
      <c r="O35" s="174" t="s">
        <v>13</v>
      </c>
      <c r="P35" s="170">
        <f>IF(N36&lt;&gt;0,N35/N36,0)</f>
        <v>0.68772030313711663</v>
      </c>
    </row>
    <row r="36" spans="1:16" ht="13.9" customHeight="1">
      <c r="A36" s="4"/>
      <c r="B36" s="166"/>
      <c r="C36" s="168"/>
      <c r="D36" s="171"/>
      <c r="E36" s="172"/>
      <c r="F36" s="166"/>
      <c r="G36" s="175" t="s">
        <v>40</v>
      </c>
      <c r="H36" s="175"/>
      <c r="I36" s="168"/>
      <c r="J36" s="38">
        <f>I8</f>
        <v>20</v>
      </c>
      <c r="K36" s="156" t="s">
        <v>14</v>
      </c>
      <c r="L36" s="39">
        <f>I30</f>
        <v>-5</v>
      </c>
      <c r="M36" s="168"/>
      <c r="N36" s="40">
        <f>J36-L36</f>
        <v>25</v>
      </c>
      <c r="O36" s="168"/>
      <c r="P36" s="172"/>
    </row>
    <row r="37" spans="1:16" ht="13.9" customHeight="1">
      <c r="A37" s="4" t="s">
        <v>15</v>
      </c>
      <c r="B37" s="137" t="s">
        <v>34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3.9" customHeight="1">
      <c r="A38" s="4" t="s">
        <v>15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6" ht="13.9" customHeight="1">
      <c r="A39" s="4" t="s">
        <v>15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6" ht="13.9" customHeight="1">
      <c r="A40" s="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3.9" customHeight="1">
      <c r="A41" s="4"/>
      <c r="B41" s="176" t="s">
        <v>24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8"/>
      <c r="P41" s="9" t="s">
        <v>16</v>
      </c>
    </row>
    <row r="42" spans="1:16" ht="13.9" customHeight="1">
      <c r="A42" s="4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0"/>
      <c r="P42" s="11"/>
    </row>
    <row r="43" spans="1:16" ht="13.9" customHeight="1">
      <c r="A43" s="4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6" ht="13.9" customHeight="1">
      <c r="A44" s="4"/>
      <c r="B44" s="80"/>
      <c r="C44" s="46" t="str">
        <f>"Luft im Raum:   "&amp;FIXED(G47,1)&amp;"°C   r.F.= "&amp;ROUND((M49*100),0)&amp;"%   ("&amp;ROUND(F60,1)&amp;" von max. "&amp;ROUND(K47,1)&amp;" g/m³)"</f>
        <v>Luft im Raum:   20,0°C   r.F.= 49%   (8,4 von max. 17,3 g/m³)</v>
      </c>
      <c r="D44" s="46"/>
      <c r="E44" s="46"/>
      <c r="F44" s="46"/>
      <c r="G44" s="46"/>
      <c r="H44" s="46"/>
      <c r="I44" s="104"/>
      <c r="J44" s="138" t="str">
        <f>"      Luft im Raum:    "&amp;FIXED(G47,1)&amp;"°C   r.F.=  "&amp;ROUND((M48*100),0)&amp;"%     ("&amp;ROUND(M60,1)&amp;" von max. "&amp;ROUND(K47,1)&amp;" g/m³)"</f>
        <v xml:space="preserve">      Luft im Raum:    20,0°C   r.F.=  61%     (10,5 von max. 17,3 g/m³)</v>
      </c>
      <c r="K44" s="46"/>
      <c r="L44" s="46"/>
      <c r="M44" s="46"/>
      <c r="N44" s="46"/>
      <c r="O44" s="46"/>
      <c r="P44" s="81"/>
    </row>
    <row r="45" spans="1:16" ht="13.9" customHeight="1">
      <c r="A45" s="4"/>
      <c r="B45" s="80"/>
      <c r="C45" s="46" t="str">
        <f>"Luft an Oberfl.:  "&amp;FIXED(G49,1)&amp;"°C   r.F.= "&amp;ROUND((E49*100),0)&amp;"%   ("&amp;ROUND(K49,1)&amp;" von max. "&amp;ROUND(K48,1)&amp;" g/m³)"</f>
        <v>Luft an Oberfl.:  12,2°C   r.F.= 80%   (8,6 von max. 10,8 g/m³)</v>
      </c>
      <c r="D45" s="46"/>
      <c r="E45" s="46"/>
      <c r="F45" s="46"/>
      <c r="G45" s="46"/>
      <c r="H45" s="46"/>
      <c r="I45" s="104"/>
      <c r="J45" s="46" t="str">
        <f>"      Luft an Oberfl.:   "&amp;FIXED(G48,1)&amp;"°C   r.F.= "&amp;ROUND((E48*100),0)&amp;"%    ("&amp;ROUND(K48,1)&amp;" von max. "&amp;ROUND(K48,1)&amp;" g/m³)"</f>
        <v xml:space="preserve">      Luft an Oberfl.:   12,2°C   r.F.= 100%    (10,8 von max. 10,8 g/m³)</v>
      </c>
      <c r="K45" s="46"/>
      <c r="L45" s="46"/>
      <c r="M45" s="46"/>
      <c r="N45" s="46"/>
      <c r="O45" s="46"/>
      <c r="P45" s="81"/>
    </row>
    <row r="46" spans="1:16" ht="13.9" customHeight="1">
      <c r="A46" s="4"/>
      <c r="B46" s="80"/>
      <c r="C46" s="46"/>
      <c r="D46" s="46"/>
      <c r="E46" s="46"/>
      <c r="F46" s="46"/>
      <c r="G46" s="46"/>
      <c r="H46" s="46"/>
      <c r="I46" s="104"/>
      <c r="J46" s="46"/>
      <c r="K46" s="46"/>
      <c r="L46" s="46"/>
      <c r="M46" s="46"/>
      <c r="N46" s="46"/>
      <c r="O46" s="46"/>
      <c r="P46" s="81"/>
    </row>
    <row r="47" spans="1:16" ht="13.9" customHeight="1">
      <c r="A47" s="4"/>
      <c r="B47" s="80"/>
      <c r="C47" s="86">
        <f>MAX(C48:C51)</f>
        <v>3</v>
      </c>
      <c r="D47" s="87"/>
      <c r="E47" s="88">
        <v>1</v>
      </c>
      <c r="F47" s="89" t="s">
        <v>41</v>
      </c>
      <c r="G47" s="90">
        <f>I8</f>
        <v>20</v>
      </c>
      <c r="H47" s="105" t="s">
        <v>44</v>
      </c>
      <c r="I47" s="111">
        <f>IF(G47&lt;=0,4.689*(1.486+G47/100)^12.3,288.68*(1.098+G47/100)^8.02)</f>
        <v>2338.1896306956355</v>
      </c>
      <c r="J47" s="106" t="s">
        <v>45</v>
      </c>
      <c r="K47" s="17">
        <f>I47/((273.15+G47)*461.5)*1000</f>
        <v>17.282960059647511</v>
      </c>
      <c r="L47" s="90" t="s">
        <v>46</v>
      </c>
      <c r="M47" s="88" t="s">
        <v>47</v>
      </c>
      <c r="N47" s="86">
        <f>MAX(N48:N51)</f>
        <v>1</v>
      </c>
      <c r="O47" s="87"/>
      <c r="P47" s="81"/>
    </row>
    <row r="48" spans="1:16" ht="13.9" customHeight="1">
      <c r="A48" s="4"/>
      <c r="B48" s="80"/>
      <c r="C48" s="3">
        <f>IF(M$49&gt;=0.6,1,0)</f>
        <v>0</v>
      </c>
      <c r="D48" s="2" t="s">
        <v>18</v>
      </c>
      <c r="E48" s="88">
        <v>1</v>
      </c>
      <c r="F48" s="89" t="s">
        <v>42</v>
      </c>
      <c r="G48" s="90">
        <f>I10</f>
        <v>12.193007578427917</v>
      </c>
      <c r="H48" s="105" t="s">
        <v>44</v>
      </c>
      <c r="I48" s="111">
        <f>IF(G48&lt;=0,4.689*(1.486+G48/100)^12.3,288.68*(1.098+G48/100)^8.02)</f>
        <v>1421.748905585699</v>
      </c>
      <c r="J48" s="106" t="s">
        <v>45</v>
      </c>
      <c r="K48" s="17">
        <f>I48/((273.15+G48)*461.5)*1000</f>
        <v>10.796524205391457</v>
      </c>
      <c r="L48" s="90" t="s">
        <v>46</v>
      </c>
      <c r="M48" s="88">
        <f>K48*H53/K47</f>
        <v>0.60805543182685062</v>
      </c>
      <c r="N48" s="3">
        <f>IF(M$48&gt;=0.6,1,0)</f>
        <v>1</v>
      </c>
      <c r="O48" s="2" t="s">
        <v>18</v>
      </c>
      <c r="P48" s="81"/>
    </row>
    <row r="49" spans="1:16" ht="13.9" customHeight="1">
      <c r="A49" s="4"/>
      <c r="B49" s="80"/>
      <c r="C49" s="3">
        <f>IF(AND(M$49&lt;0.6,M$49&gt;=0.5),2,0)</f>
        <v>0</v>
      </c>
      <c r="D49" s="2" t="s">
        <v>19</v>
      </c>
      <c r="E49" s="88">
        <f>B80</f>
        <v>0.8</v>
      </c>
      <c r="F49" s="89" t="s">
        <v>42</v>
      </c>
      <c r="G49" s="90">
        <f>I10</f>
        <v>12.193007578427917</v>
      </c>
      <c r="H49" s="105" t="s">
        <v>44</v>
      </c>
      <c r="I49" s="111">
        <f>IF(G49&lt;=0,4.689*(1.486+G49/100)^12.3,288.68*(1.098+G49/100)^8.02)*E49</f>
        <v>1137.3991244685592</v>
      </c>
      <c r="J49" s="106" t="s">
        <v>45</v>
      </c>
      <c r="K49" s="17">
        <f>I49/((273.15+G49)*461.5)*1000</f>
        <v>8.6372193643131663</v>
      </c>
      <c r="L49" s="90" t="s">
        <v>46</v>
      </c>
      <c r="M49" s="88">
        <f>K49*H53/K47</f>
        <v>0.48644434546148052</v>
      </c>
      <c r="N49" s="3">
        <f>IF(AND(M$48&lt;0.6,M$48&gt;=0.5),2,0)</f>
        <v>0</v>
      </c>
      <c r="O49" s="2" t="s">
        <v>19</v>
      </c>
      <c r="P49" s="81"/>
    </row>
    <row r="50" spans="1:16" ht="13.9" customHeight="1">
      <c r="A50" s="4"/>
      <c r="B50" s="80"/>
      <c r="C50" s="3">
        <f>IF(AND(M$49&lt;0.5,M$49&gt;=0.4),3,0)</f>
        <v>3</v>
      </c>
      <c r="D50" s="2" t="s">
        <v>21</v>
      </c>
      <c r="E50" s="88">
        <v>1</v>
      </c>
      <c r="F50" s="89" t="s">
        <v>43</v>
      </c>
      <c r="G50" s="90">
        <f>I30</f>
        <v>-5</v>
      </c>
      <c r="H50" s="105" t="s">
        <v>44</v>
      </c>
      <c r="I50" s="111">
        <f>IF(G50&lt;=0,4.689*(1.486+G50/100)^12.3,288.68*(1.098+G50/100)^8.02)</f>
        <v>401.86468553457718</v>
      </c>
      <c r="J50" s="106" t="s">
        <v>45</v>
      </c>
      <c r="K50" s="17">
        <f>I50/((273.15+G50)*461.5)*1000</f>
        <v>3.2473592526827693</v>
      </c>
      <c r="L50" s="90" t="s">
        <v>46</v>
      </c>
      <c r="M50" s="88"/>
      <c r="N50" s="3">
        <f>IF(AND(M$48&lt;0.5,M$48&gt;=0.4),3,0)</f>
        <v>0</v>
      </c>
      <c r="O50" s="2" t="s">
        <v>21</v>
      </c>
      <c r="P50" s="81"/>
    </row>
    <row r="51" spans="1:16" ht="13.9" customHeight="1">
      <c r="A51" s="4"/>
      <c r="B51" s="80"/>
      <c r="C51" s="3">
        <f>IF(M$49&lt;0.4,4,0)</f>
        <v>0</v>
      </c>
      <c r="D51" s="2" t="s">
        <v>20</v>
      </c>
      <c r="E51" s="46"/>
      <c r="F51" s="46"/>
      <c r="G51" s="46"/>
      <c r="H51" s="46"/>
      <c r="I51" s="46"/>
      <c r="J51" s="46"/>
      <c r="K51" s="46"/>
      <c r="L51" s="46"/>
      <c r="M51" s="46"/>
      <c r="N51" s="3">
        <f>IF(M$48&lt;0.4,4,0)</f>
        <v>0</v>
      </c>
      <c r="O51" s="2" t="s">
        <v>20</v>
      </c>
      <c r="P51" s="81"/>
    </row>
    <row r="52" spans="1:16" ht="13.9" customHeight="1">
      <c r="A52" s="4"/>
      <c r="B52" s="80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81"/>
    </row>
    <row r="53" spans="1:16" ht="13.9" customHeight="1">
      <c r="A53" s="4"/>
      <c r="B53" s="80"/>
      <c r="C53" s="46"/>
      <c r="D53" s="46"/>
      <c r="E53" s="101">
        <f>C67</f>
        <v>1</v>
      </c>
      <c r="F53" s="46"/>
      <c r="G53" s="147">
        <v>273.14999999999998</v>
      </c>
      <c r="H53" s="46">
        <f>(G53+G48)/(G53+G47)</f>
        <v>0.97336860848858231</v>
      </c>
      <c r="I53" s="46"/>
      <c r="J53" s="46"/>
      <c r="K53" s="46"/>
      <c r="L53" s="46"/>
      <c r="M53" s="46"/>
      <c r="N53" s="46"/>
      <c r="O53" s="46"/>
      <c r="P53" s="81"/>
    </row>
    <row r="54" spans="1:16" ht="13.9" customHeight="1">
      <c r="A54" s="4"/>
      <c r="B54" s="80"/>
      <c r="C54" s="46"/>
      <c r="D54" s="46"/>
      <c r="E54" s="101">
        <f>C64</f>
        <v>0.8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81"/>
    </row>
    <row r="55" spans="1:16" ht="13.9" customHeight="1">
      <c r="A55" s="4"/>
      <c r="B55" s="80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81"/>
    </row>
    <row r="56" spans="1:16" ht="13.9" customHeight="1">
      <c r="A56" s="4"/>
      <c r="B56" s="80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81"/>
    </row>
    <row r="57" spans="1:16" ht="13.9" customHeight="1">
      <c r="A57" s="4"/>
      <c r="B57" s="80"/>
      <c r="C57" s="46"/>
      <c r="D57" s="46"/>
      <c r="E57" s="95">
        <v>0</v>
      </c>
      <c r="F57" s="95">
        <f>K49</f>
        <v>8.6372193643131663</v>
      </c>
      <c r="G57" s="46"/>
      <c r="H57" s="46"/>
      <c r="I57" s="46"/>
      <c r="J57" s="46"/>
      <c r="K57" s="46"/>
      <c r="L57" s="95">
        <v>0</v>
      </c>
      <c r="M57" s="95">
        <f>K48</f>
        <v>10.796524205391457</v>
      </c>
      <c r="N57" s="46"/>
      <c r="O57" s="46"/>
      <c r="P57" s="81"/>
    </row>
    <row r="58" spans="1:16" ht="13.9" customHeight="1">
      <c r="A58" s="4"/>
      <c r="B58" s="80"/>
      <c r="C58" s="46"/>
      <c r="D58" s="100" t="s">
        <v>51</v>
      </c>
      <c r="E58" s="95">
        <f>G49</f>
        <v>12.193007578427917</v>
      </c>
      <c r="F58" s="95">
        <f>E58</f>
        <v>12.193007578427917</v>
      </c>
      <c r="G58" s="46"/>
      <c r="H58" s="46"/>
      <c r="I58" s="46"/>
      <c r="J58" s="46"/>
      <c r="K58" s="46"/>
      <c r="L58" s="95">
        <f>G48</f>
        <v>12.193007578427917</v>
      </c>
      <c r="M58" s="95">
        <f>L58</f>
        <v>12.193007578427917</v>
      </c>
      <c r="N58" s="46"/>
      <c r="O58" s="46"/>
      <c r="P58" s="81"/>
    </row>
    <row r="59" spans="1:16" ht="13.9" customHeight="1">
      <c r="A59" s="4"/>
      <c r="B59" s="80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6" ht="13.9" customHeight="1">
      <c r="A60" s="4"/>
      <c r="B60" s="80"/>
      <c r="C60" s="46"/>
      <c r="D60" s="46"/>
      <c r="E60" s="95">
        <v>0</v>
      </c>
      <c r="F60" s="95">
        <f>F57*H53</f>
        <v>8.4071981938521443</v>
      </c>
      <c r="G60" s="46"/>
      <c r="H60" s="46"/>
      <c r="I60" s="46"/>
      <c r="J60" s="46"/>
      <c r="K60" s="46"/>
      <c r="L60" s="95">
        <v>0</v>
      </c>
      <c r="M60" s="95">
        <f>K48*H53</f>
        <v>10.508997742315179</v>
      </c>
      <c r="N60" s="46"/>
      <c r="O60" s="46"/>
      <c r="P60" s="81"/>
    </row>
    <row r="61" spans="1:16" ht="13.9" customHeight="1">
      <c r="A61" s="4"/>
      <c r="B61" s="80"/>
      <c r="C61" s="46"/>
      <c r="D61" s="100" t="s">
        <v>50</v>
      </c>
      <c r="E61" s="95">
        <f>G47</f>
        <v>20</v>
      </c>
      <c r="F61" s="95">
        <f>E61</f>
        <v>20</v>
      </c>
      <c r="G61" s="46"/>
      <c r="H61" s="46"/>
      <c r="I61" s="46"/>
      <c r="J61" s="46"/>
      <c r="K61" s="46"/>
      <c r="L61" s="95">
        <f>G47</f>
        <v>20</v>
      </c>
      <c r="M61" s="95">
        <f>L61</f>
        <v>20</v>
      </c>
      <c r="N61" s="46"/>
      <c r="O61" s="46"/>
      <c r="P61" s="81"/>
    </row>
    <row r="62" spans="1:16" ht="13.9" customHeight="1">
      <c r="A62" s="4"/>
      <c r="B62" s="80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81"/>
    </row>
    <row r="63" spans="1:16" ht="13.9" customHeight="1">
      <c r="A63" s="4"/>
      <c r="B63" s="80"/>
      <c r="C63" s="46"/>
      <c r="D63" s="46"/>
      <c r="E63" s="46"/>
      <c r="F63" s="46"/>
      <c r="G63" s="46"/>
      <c r="H63" s="46"/>
      <c r="I63" s="104"/>
      <c r="J63" s="46"/>
      <c r="K63" s="46"/>
      <c r="L63" s="46"/>
      <c r="M63" s="46"/>
      <c r="N63" s="46"/>
      <c r="O63" s="46"/>
      <c r="P63" s="81"/>
    </row>
    <row r="64" spans="1:16" ht="13.9" customHeight="1">
      <c r="A64" s="4"/>
      <c r="B64" s="80"/>
      <c r="C64" s="97">
        <f t="shared" ref="C64:O64" si="3">$E49</f>
        <v>0.8</v>
      </c>
      <c r="D64" s="97">
        <f t="shared" si="3"/>
        <v>0.8</v>
      </c>
      <c r="E64" s="97">
        <f t="shared" si="3"/>
        <v>0.8</v>
      </c>
      <c r="F64" s="97">
        <f t="shared" si="3"/>
        <v>0.8</v>
      </c>
      <c r="G64" s="97">
        <f t="shared" si="3"/>
        <v>0.8</v>
      </c>
      <c r="H64" s="97">
        <f t="shared" si="3"/>
        <v>0.8</v>
      </c>
      <c r="I64" s="112">
        <f t="shared" si="3"/>
        <v>0.8</v>
      </c>
      <c r="J64" s="97">
        <f t="shared" si="3"/>
        <v>0.8</v>
      </c>
      <c r="K64" s="97">
        <f t="shared" si="3"/>
        <v>0.8</v>
      </c>
      <c r="L64" s="97">
        <f t="shared" si="3"/>
        <v>0.8</v>
      </c>
      <c r="M64" s="97">
        <f t="shared" si="3"/>
        <v>0.8</v>
      </c>
      <c r="N64" s="97">
        <f t="shared" si="3"/>
        <v>0.8</v>
      </c>
      <c r="O64" s="97">
        <f t="shared" si="3"/>
        <v>0.8</v>
      </c>
      <c r="P64" s="81"/>
    </row>
    <row r="65" spans="1:16" ht="13.9" customHeight="1">
      <c r="A65" s="4"/>
      <c r="B65" s="99"/>
      <c r="C65" s="57">
        <f>C66/((273.15+C70)*461.5)*1000*C64</f>
        <v>0.44372247332317721</v>
      </c>
      <c r="D65" s="57">
        <f t="shared" ref="D65:J65" si="4">D66/((273.15+D70)*461.5)*1000*D64</f>
        <v>0.7084096952427501</v>
      </c>
      <c r="E65" s="57">
        <f t="shared" si="4"/>
        <v>1.1105696994573482</v>
      </c>
      <c r="F65" s="57">
        <f t="shared" si="4"/>
        <v>1.7119176612103517</v>
      </c>
      <c r="G65" s="57">
        <f t="shared" si="4"/>
        <v>2.5978874021462155</v>
      </c>
      <c r="H65" s="107">
        <f t="shared" si="4"/>
        <v>3.8853367454401182</v>
      </c>
      <c r="I65" s="111">
        <f t="shared" si="4"/>
        <v>5.4423924595383788</v>
      </c>
      <c r="J65" s="109">
        <f t="shared" si="4"/>
        <v>7.5256166709804546</v>
      </c>
      <c r="K65" s="57">
        <f>K66/((273.15+K70)*461.5)*1000*K64</f>
        <v>10.26496159411175</v>
      </c>
      <c r="L65" s="57">
        <f>L66/((273.15+L70)*461.5)*1000*L64</f>
        <v>13.82636804771801</v>
      </c>
      <c r="M65" s="57">
        <f>M66/((273.15+M70)*461.5)*1000*M64</f>
        <v>18.408275271565099</v>
      </c>
      <c r="N65" s="57">
        <f>N66/((273.15+N70)*461.5)*1000*N64</f>
        <v>24.246269070414641</v>
      </c>
      <c r="O65" s="57">
        <f>O66/((273.15+O70)*461.5)*1000*O64</f>
        <v>31.618165787340743</v>
      </c>
      <c r="P65" s="81"/>
    </row>
    <row r="66" spans="1:16" ht="13.9" customHeight="1">
      <c r="A66" s="4"/>
      <c r="B66" s="80"/>
      <c r="C66" s="57">
        <f>IF(C70&lt;=0,4.689*(1.486+C70/100)^12.3,288.68*(1.098+C70/100)^8.02)</f>
        <v>63.519551506250089</v>
      </c>
      <c r="D66" s="57">
        <f t="shared" ref="D66:J66" si="5">IF(D70&lt;=0,4.689*(1.486+D70/100)^12.3,288.68*(1.098+D70/100)^8.02)</f>
        <v>103.45325184106132</v>
      </c>
      <c r="E66" s="57">
        <f t="shared" si="5"/>
        <v>165.38635199091624</v>
      </c>
      <c r="F66" s="57">
        <f t="shared" si="5"/>
        <v>259.87707208834138</v>
      </c>
      <c r="G66" s="57">
        <f t="shared" si="5"/>
        <v>401.86468553457718</v>
      </c>
      <c r="H66" s="107">
        <f t="shared" si="5"/>
        <v>612.22574540728851</v>
      </c>
      <c r="I66" s="111">
        <f t="shared" si="5"/>
        <v>873.27421874925847</v>
      </c>
      <c r="J66" s="109">
        <f t="shared" si="5"/>
        <v>1229.2504541488943</v>
      </c>
      <c r="K66" s="57">
        <f>IF(K70&lt;=0,4.689*(1.486+K70/100)^12.3,288.68*(1.098+K70/100)^8.02)</f>
        <v>1706.3089592036661</v>
      </c>
      <c r="L66" s="57">
        <f>IF(L70&lt;=0,4.689*(1.486+L70/100)^12.3,288.68*(1.098+L70/100)^8.02)</f>
        <v>2338.1896306956355</v>
      </c>
      <c r="M66" s="57">
        <f>IF(M70&lt;=0,4.689*(1.486+M70/100)^12.3,288.68*(1.098+M70/100)^8.02)</f>
        <v>3166.1364826602589</v>
      </c>
      <c r="N66" s="57">
        <f>IF(N70&lt;=0,4.689*(1.486+N70/100)^12.3,288.68*(1.098+N70/100)^8.02)</f>
        <v>4240.1792003791188</v>
      </c>
      <c r="O66" s="57">
        <f>IF(O70&lt;=0,4.689*(1.486+O70/100)^12.3,288.68*(1.098+O70/100)^8.02)</f>
        <v>5620.5726110885189</v>
      </c>
      <c r="P66" s="81"/>
    </row>
    <row r="67" spans="1:16" ht="13.9" customHeight="1">
      <c r="A67" s="4"/>
      <c r="B67" s="82"/>
      <c r="C67" s="97">
        <f t="shared" ref="C67:O67" si="6">$E48</f>
        <v>1</v>
      </c>
      <c r="D67" s="97">
        <f t="shared" si="6"/>
        <v>1</v>
      </c>
      <c r="E67" s="97">
        <f t="shared" si="6"/>
        <v>1</v>
      </c>
      <c r="F67" s="97">
        <f t="shared" si="6"/>
        <v>1</v>
      </c>
      <c r="G67" s="97">
        <f t="shared" si="6"/>
        <v>1</v>
      </c>
      <c r="H67" s="97">
        <f t="shared" si="6"/>
        <v>1</v>
      </c>
      <c r="I67" s="112">
        <f t="shared" si="6"/>
        <v>1</v>
      </c>
      <c r="J67" s="97">
        <f t="shared" si="6"/>
        <v>1</v>
      </c>
      <c r="K67" s="97">
        <f t="shared" si="6"/>
        <v>1</v>
      </c>
      <c r="L67" s="97">
        <f t="shared" si="6"/>
        <v>1</v>
      </c>
      <c r="M67" s="97">
        <f t="shared" si="6"/>
        <v>1</v>
      </c>
      <c r="N67" s="97">
        <f t="shared" si="6"/>
        <v>1</v>
      </c>
      <c r="O67" s="97">
        <f t="shared" si="6"/>
        <v>1</v>
      </c>
      <c r="P67" s="83"/>
    </row>
    <row r="68" spans="1:16" ht="13.9" customHeight="1">
      <c r="A68" s="4"/>
      <c r="B68" s="99"/>
      <c r="C68" s="57">
        <f>C69/((273.15+C70)*461.5)*1000*C67</f>
        <v>0.55465309165397148</v>
      </c>
      <c r="D68" s="57">
        <f t="shared" ref="D68:J68" si="7">D69/((273.15+D70)*461.5)*1000*D67</f>
        <v>0.88551211905343763</v>
      </c>
      <c r="E68" s="57">
        <f t="shared" si="7"/>
        <v>1.3882121243216852</v>
      </c>
      <c r="F68" s="57">
        <f t="shared" si="7"/>
        <v>2.1398970765129395</v>
      </c>
      <c r="G68" s="57">
        <f t="shared" si="7"/>
        <v>3.2473592526827693</v>
      </c>
      <c r="H68" s="107">
        <f t="shared" si="7"/>
        <v>4.8566709318001475</v>
      </c>
      <c r="I68" s="111">
        <f t="shared" si="7"/>
        <v>6.8029905744229726</v>
      </c>
      <c r="J68" s="109">
        <f t="shared" si="7"/>
        <v>9.4070208387255683</v>
      </c>
      <c r="K68" s="57">
        <f>K69/((273.15+K70)*461.5)*1000*K67</f>
        <v>12.831201992639686</v>
      </c>
      <c r="L68" s="57">
        <f>L69/((273.15+L70)*461.5)*1000*L67</f>
        <v>17.282960059647511</v>
      </c>
      <c r="M68" s="57">
        <f>M69/((273.15+M70)*461.5)*1000*M67</f>
        <v>23.010344089456375</v>
      </c>
      <c r="N68" s="57">
        <f>N69/((273.15+N70)*461.5)*1000*N67</f>
        <v>30.307836338018301</v>
      </c>
      <c r="O68" s="57">
        <f>O69/((273.15+O70)*461.5)*1000*O67</f>
        <v>39.522707234175925</v>
      </c>
      <c r="P68" s="83"/>
    </row>
    <row r="69" spans="1:16" ht="13.9" customHeight="1">
      <c r="A69" s="4"/>
      <c r="B69" s="96"/>
      <c r="C69" s="57">
        <f>IF(C70&lt;=0,4.689*(1.486+C70/100)^12.3,288.68*(1.098+C70/100)^8.02)</f>
        <v>63.519551506250089</v>
      </c>
      <c r="D69" s="57">
        <f t="shared" ref="D69:J69" si="8">IF(D70&lt;=0,4.689*(1.486+D70/100)^12.3,288.68*(1.098+D70/100)^8.02)</f>
        <v>103.45325184106132</v>
      </c>
      <c r="E69" s="57">
        <f t="shared" si="8"/>
        <v>165.38635199091624</v>
      </c>
      <c r="F69" s="57">
        <f t="shared" si="8"/>
        <v>259.87707208834138</v>
      </c>
      <c r="G69" s="57">
        <f t="shared" si="8"/>
        <v>401.86468553457718</v>
      </c>
      <c r="H69" s="107">
        <f t="shared" si="8"/>
        <v>612.22574540728851</v>
      </c>
      <c r="I69" s="111">
        <f t="shared" si="8"/>
        <v>873.27421874925847</v>
      </c>
      <c r="J69" s="109">
        <f t="shared" si="8"/>
        <v>1229.2504541488943</v>
      </c>
      <c r="K69" s="57">
        <f>IF(K70&lt;=0,4.689*(1.486+K70/100)^12.3,288.68*(1.098+K70/100)^8.02)</f>
        <v>1706.3089592036661</v>
      </c>
      <c r="L69" s="57">
        <f>IF(L70&lt;=0,4.689*(1.486+L70/100)^12.3,288.68*(1.098+L70/100)^8.02)</f>
        <v>2338.1896306956355</v>
      </c>
      <c r="M69" s="57">
        <f>IF(M70&lt;=0,4.689*(1.486+M70/100)^12.3,288.68*(1.098+M70/100)^8.02)</f>
        <v>3166.1364826602589</v>
      </c>
      <c r="N69" s="57">
        <f>IF(N70&lt;=0,4.689*(1.486+N70/100)^12.3,288.68*(1.098+N70/100)^8.02)</f>
        <v>4240.1792003791188</v>
      </c>
      <c r="O69" s="57">
        <f>IF(O70&lt;=0,4.689*(1.486+O70/100)^12.3,288.68*(1.098+O70/100)^8.02)</f>
        <v>5620.5726110885189</v>
      </c>
      <c r="P69" s="81"/>
    </row>
    <row r="70" spans="1:16" ht="13.9" customHeight="1">
      <c r="A70" s="4"/>
      <c r="B70" s="96"/>
      <c r="C70" s="98">
        <v>-25</v>
      </c>
      <c r="D70" s="98">
        <v>-20</v>
      </c>
      <c r="E70" s="98">
        <v>-15</v>
      </c>
      <c r="F70" s="98">
        <v>-10</v>
      </c>
      <c r="G70" s="98">
        <v>-5</v>
      </c>
      <c r="H70" s="108">
        <v>0</v>
      </c>
      <c r="I70" s="113">
        <v>5</v>
      </c>
      <c r="J70" s="110">
        <v>10</v>
      </c>
      <c r="K70" s="98">
        <v>15</v>
      </c>
      <c r="L70" s="98">
        <v>20</v>
      </c>
      <c r="M70" s="98">
        <v>25</v>
      </c>
      <c r="N70" s="98">
        <v>30</v>
      </c>
      <c r="O70" s="98">
        <v>35</v>
      </c>
      <c r="P70" s="81"/>
    </row>
    <row r="71" spans="1:16" ht="13.9" customHeight="1">
      <c r="A71" s="4"/>
      <c r="B71" s="80"/>
      <c r="C71" s="46"/>
      <c r="D71" s="46"/>
      <c r="E71" s="46"/>
      <c r="F71" s="46"/>
      <c r="G71" s="46"/>
      <c r="H71" s="46"/>
      <c r="I71" s="104"/>
      <c r="J71" s="46"/>
      <c r="K71" s="46"/>
      <c r="L71" s="46"/>
      <c r="M71" s="46"/>
      <c r="N71" s="46"/>
      <c r="O71" s="46"/>
      <c r="P71" s="81"/>
    </row>
    <row r="72" spans="1:16" ht="13.9" customHeight="1">
      <c r="A72" s="4"/>
      <c r="B72" s="80"/>
      <c r="C72" s="46"/>
      <c r="D72" s="46"/>
      <c r="E72" s="46"/>
      <c r="F72" s="46"/>
      <c r="G72" s="46"/>
      <c r="H72" s="46"/>
      <c r="I72" s="46"/>
      <c r="J72" s="46"/>
      <c r="K72" s="114"/>
      <c r="L72" s="46"/>
      <c r="M72" s="46"/>
      <c r="N72" s="46"/>
      <c r="O72" s="46"/>
      <c r="P72" s="81"/>
    </row>
    <row r="73" spans="1:16" ht="13.9" customHeight="1">
      <c r="A73" s="4"/>
      <c r="B73" s="43" t="s">
        <v>17</v>
      </c>
      <c r="C73" s="180"/>
      <c r="D73" s="180" t="s">
        <v>48</v>
      </c>
      <c r="E73" s="182">
        <f>IF(M49&lt;=1,M49,"?")</f>
        <v>0.48644434546148052</v>
      </c>
      <c r="F73" s="184" t="s">
        <v>26</v>
      </c>
      <c r="G73" s="184"/>
      <c r="H73" s="184"/>
      <c r="I73" s="184"/>
      <c r="J73" s="180" t="s">
        <v>48</v>
      </c>
      <c r="K73" s="182">
        <f>IF(M48&lt;=1,M48,"?")</f>
        <v>0.60805543182685062</v>
      </c>
      <c r="L73" s="184" t="s">
        <v>27</v>
      </c>
      <c r="M73" s="184"/>
      <c r="N73" s="184"/>
      <c r="O73" s="184"/>
      <c r="P73" s="43" t="s">
        <v>17</v>
      </c>
    </row>
    <row r="74" spans="1:16" ht="13.9" customHeight="1">
      <c r="A74" s="4"/>
      <c r="B74" s="42" t="str">
        <f>INDEX(D48:D51,C47)</f>
        <v>Gefahr !</v>
      </c>
      <c r="C74" s="181"/>
      <c r="D74" s="181"/>
      <c r="E74" s="183"/>
      <c r="F74" s="185"/>
      <c r="G74" s="185"/>
      <c r="H74" s="185"/>
      <c r="I74" s="185"/>
      <c r="J74" s="181"/>
      <c r="K74" s="183"/>
      <c r="L74" s="185"/>
      <c r="M74" s="185"/>
      <c r="N74" s="185"/>
      <c r="O74" s="185"/>
      <c r="P74" s="41" t="str">
        <f>INDEX(O48:O51,N47)</f>
        <v>unkritisch</v>
      </c>
    </row>
    <row r="75" spans="1:16" ht="13.9" customHeight="1">
      <c r="A75" s="4" t="s">
        <v>15</v>
      </c>
      <c r="B75" s="137" t="s">
        <v>28</v>
      </c>
      <c r="C75" s="137"/>
      <c r="D75" s="137" t="s">
        <v>129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</row>
    <row r="76" spans="1:16" ht="13.9" customHeight="1">
      <c r="A76" s="4" t="s">
        <v>15</v>
      </c>
      <c r="B76" s="135"/>
      <c r="C76" s="135"/>
      <c r="D76" s="135" t="s">
        <v>54</v>
      </c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9" spans="1:16" ht="13.9" customHeight="1">
      <c r="B79" s="4" t="s">
        <v>58</v>
      </c>
    </row>
    <row r="80" spans="1:16" ht="13.9" customHeight="1">
      <c r="A80" s="54"/>
      <c r="B80" s="52">
        <v>0.8</v>
      </c>
      <c r="C80" s="84" t="s">
        <v>36</v>
      </c>
      <c r="D80" s="84"/>
      <c r="E80" s="84"/>
      <c r="F80" s="85"/>
    </row>
    <row r="81" spans="1:6" ht="13.9" customHeight="1">
      <c r="A81" s="1"/>
      <c r="B81" s="94"/>
      <c r="C81" s="84" t="s">
        <v>37</v>
      </c>
      <c r="F81" s="85"/>
    </row>
    <row r="82" spans="1:6" ht="13.9" customHeight="1">
      <c r="A82" s="1"/>
      <c r="B82" s="53">
        <f>IF(B80&lt;&gt;0.8,"Achtung!",0)</f>
        <v>0</v>
      </c>
      <c r="C82" s="116" t="s">
        <v>49</v>
      </c>
    </row>
  </sheetData>
  <sheetProtection algorithmName="SHA-512" hashValue="Re/a6vhUoGBHI2e2OFWKxkRLHcvDoXOj8pTiTt8pxNxKWHmbSwQ/xVlol1/NebvH+tFglA6J2pFckqZv7HHbzg==" saltValue="ceH5NCEDL9GOBOVMPVItXA==" spinCount="100000" sheet="1" objects="1" scenarios="1"/>
  <mergeCells count="19">
    <mergeCell ref="P35:P36"/>
    <mergeCell ref="G36:H36"/>
    <mergeCell ref="B41:N42"/>
    <mergeCell ref="C73:C74"/>
    <mergeCell ref="D73:D74"/>
    <mergeCell ref="E73:E74"/>
    <mergeCell ref="F73:I74"/>
    <mergeCell ref="J73:J74"/>
    <mergeCell ref="K73:K74"/>
    <mergeCell ref="L73:O74"/>
    <mergeCell ref="O35:O36"/>
    <mergeCell ref="B3:N4"/>
    <mergeCell ref="B35:B36"/>
    <mergeCell ref="C35:C36"/>
    <mergeCell ref="D35:E36"/>
    <mergeCell ref="F35:F36"/>
    <mergeCell ref="G35:H35"/>
    <mergeCell ref="I35:I36"/>
    <mergeCell ref="M35:M36"/>
  </mergeCells>
  <conditionalFormatting sqref="G11 G27 G13 G17 G19 G21 G23 G25 G15">
    <cfRule type="expression" dxfId="40" priority="3" stopIfTrue="1">
      <formula>AND($R$3=1,D11&gt;0)</formula>
    </cfRule>
    <cfRule type="expression" dxfId="39" priority="4" stopIfTrue="1">
      <formula>$R$3=1</formula>
    </cfRule>
  </conditionalFormatting>
  <conditionalFormatting sqref="I47:I50 I64:I70">
    <cfRule type="expression" dxfId="38" priority="5" stopIfTrue="1">
      <formula>$R$3=1</formula>
    </cfRule>
  </conditionalFormatting>
  <conditionalFormatting sqref="J51:M51 E51:H51 B3:P4 P74 D33:I34 B33:B34 B35:P36 B74 B28:F32 J5:P34 G30:G32 G5:G8 H5:H32 I5:I7 I31:I32 I9:I29 B12:G12 G10 B14:G14 B16:G16 B18:G18 B20:G20 B22:G22 B24:G24 B26:G26 G28 P41:P72 I71:I74 J67:O67 B5:F10 B41:B72 C67:H67 C70:H74 J70:O74 J52:O64 C52:H64 I51:I63 C41:O46">
    <cfRule type="expression" dxfId="37" priority="6" stopIfTrue="1">
      <formula>$R$3=1</formula>
    </cfRule>
  </conditionalFormatting>
  <conditionalFormatting sqref="C33">
    <cfRule type="cellIs" dxfId="36" priority="7" stopIfTrue="1" operator="greaterThan">
      <formula>0</formula>
    </cfRule>
  </conditionalFormatting>
  <conditionalFormatting sqref="P73">
    <cfRule type="expression" dxfId="35" priority="8" stopIfTrue="1">
      <formula>$K$73&gt;0.6</formula>
    </cfRule>
    <cfRule type="expression" dxfId="34" priority="9" stopIfTrue="1">
      <formula>$K$73&gt;0.4</formula>
    </cfRule>
    <cfRule type="expression" dxfId="33" priority="10" stopIfTrue="1">
      <formula>$K$73&lt;=0.4</formula>
    </cfRule>
  </conditionalFormatting>
  <conditionalFormatting sqref="C34">
    <cfRule type="expression" dxfId="32" priority="11" stopIfTrue="1">
      <formula>$C$33&gt;0</formula>
    </cfRule>
  </conditionalFormatting>
  <conditionalFormatting sqref="D13 D11 D15 D17 D19 D21 D23 D27 D25">
    <cfRule type="expression" dxfId="31" priority="12" stopIfTrue="1">
      <formula>AND($R$3=1,D11&gt;0)</formula>
    </cfRule>
  </conditionalFormatting>
  <conditionalFormatting sqref="C82">
    <cfRule type="expression" dxfId="30" priority="13" stopIfTrue="1">
      <formula>$B$80&lt;&gt;0.8</formula>
    </cfRule>
  </conditionalFormatting>
  <conditionalFormatting sqref="B73">
    <cfRule type="expression" dxfId="29" priority="14" stopIfTrue="1">
      <formula>$E$73&gt;0.6</formula>
    </cfRule>
    <cfRule type="expression" dxfId="28" priority="15" stopIfTrue="1">
      <formula>$E$73&gt;0.4</formula>
    </cfRule>
    <cfRule type="expression" dxfId="27" priority="16" stopIfTrue="1">
      <formula>$E$73&lt;=0.4</formula>
    </cfRule>
  </conditionalFormatting>
  <conditionalFormatting sqref="B37:P39 B1:P1 B75:P76">
    <cfRule type="expression" dxfId="26" priority="17" stopIfTrue="1">
      <formula>$R$1=1</formula>
    </cfRule>
  </conditionalFormatting>
  <conditionalFormatting sqref="U24">
    <cfRule type="expression" dxfId="25" priority="2" stopIfTrue="1">
      <formula>$R$3=1</formula>
    </cfRule>
  </conditionalFormatting>
  <conditionalFormatting sqref="U16">
    <cfRule type="expression" dxfId="24" priority="1" stopIfTrue="1">
      <formula>$R$3=1</formula>
    </cfRule>
  </conditionalFormatting>
  <dataValidations count="2">
    <dataValidation type="decimal" allowBlank="1" showInputMessage="1" showErrorMessage="1" sqref="B80">
      <formula1>0.6499</formula1>
      <formula2>0.9501</formula2>
    </dataValidation>
    <dataValidation type="decimal" allowBlank="1" showInputMessage="1" showErrorMessage="1" sqref="I8 I30">
      <formula1>-20</formula1>
      <formula2>30</formula2>
    </dataValidation>
  </dataValidations>
  <pageMargins left="0.78740157480314965" right="0.19685039370078741" top="0.78740157480314965" bottom="0.78740157480314965" header="0.51181102362204722" footer="0.51181102362204722"/>
  <pageSetup paperSize="9" scale="70" orientation="portrait" horizontalDpi="4294967294" r:id="rId1"/>
  <headerFooter>
    <oddFooter>&amp;L&amp;D&amp;C&amp;A&amp;R&amp;F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tabColor theme="8" tint="-0.499984740745262"/>
  </sheetPr>
  <dimension ref="A1:V82"/>
  <sheetViews>
    <sheetView showGridLines="0" showZeros="0" tabSelected="1" zoomScaleNormal="100" workbookViewId="0"/>
  </sheetViews>
  <sheetFormatPr baseColWidth="10" defaultColWidth="8.81640625" defaultRowHeight="13.9" customHeight="1"/>
  <cols>
    <col min="1" max="1" width="4.81640625" style="63" customWidth="1"/>
    <col min="2" max="16" width="8.81640625" style="63"/>
    <col min="17" max="17" width="4.81640625" style="63" customWidth="1"/>
    <col min="18" max="16384" width="8.81640625" style="63"/>
  </cols>
  <sheetData>
    <row r="1" spans="1:22" ht="13.9" customHeight="1">
      <c r="A1" s="4" t="s">
        <v>15</v>
      </c>
      <c r="B1" s="135" t="s">
        <v>117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R1" s="130">
        <f>IF(R2=FALSE,0,1)</f>
        <v>1</v>
      </c>
      <c r="S1" s="84"/>
    </row>
    <row r="2" spans="1:22" ht="13.9" customHeight="1">
      <c r="A2" s="4"/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R2" s="56" t="b">
        <v>1</v>
      </c>
      <c r="S2" s="159" t="s">
        <v>34</v>
      </c>
    </row>
    <row r="3" spans="1:22" ht="13.9" customHeight="1">
      <c r="A3" s="4"/>
      <c r="B3" s="161" t="s">
        <v>121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8"/>
      <c r="P3" s="9" t="s">
        <v>116</v>
      </c>
      <c r="R3" s="130">
        <f>IF(R4=FALSE,0,1)</f>
        <v>1</v>
      </c>
      <c r="S3" s="84"/>
    </row>
    <row r="4" spans="1:22" ht="13.9" customHeight="1">
      <c r="A4" s="4"/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0"/>
      <c r="P4" s="11"/>
      <c r="R4" s="56" t="b">
        <v>1</v>
      </c>
      <c r="S4" s="131" t="s">
        <v>115</v>
      </c>
    </row>
    <row r="5" spans="1:22" ht="13.9" customHeight="1">
      <c r="A5" s="4"/>
      <c r="B5" s="12"/>
      <c r="C5" s="13"/>
      <c r="D5" s="16" t="s">
        <v>30</v>
      </c>
      <c r="E5" s="13" t="s">
        <v>0</v>
      </c>
      <c r="F5" s="14" t="s">
        <v>1</v>
      </c>
      <c r="G5" s="13" t="s">
        <v>33</v>
      </c>
      <c r="H5" s="13" t="s">
        <v>31</v>
      </c>
      <c r="I5" s="13" t="s">
        <v>35</v>
      </c>
      <c r="J5" s="64"/>
      <c r="K5" s="65"/>
      <c r="L5" s="65"/>
      <c r="M5" s="65"/>
      <c r="N5" s="65"/>
      <c r="O5" s="65"/>
      <c r="P5" s="66"/>
    </row>
    <row r="6" spans="1:22" ht="13.9" customHeight="1">
      <c r="A6" s="4"/>
      <c r="B6" s="12"/>
      <c r="C6" s="13"/>
      <c r="D6" s="16" t="s">
        <v>3</v>
      </c>
      <c r="E6" s="16" t="s">
        <v>2</v>
      </c>
      <c r="F6" s="16" t="s">
        <v>120</v>
      </c>
      <c r="G6" s="16" t="s">
        <v>3</v>
      </c>
      <c r="H6" s="13" t="s">
        <v>12</v>
      </c>
      <c r="I6" s="13" t="s">
        <v>11</v>
      </c>
      <c r="J6" s="67"/>
      <c r="K6" s="68"/>
      <c r="L6" s="69"/>
      <c r="M6" s="70"/>
      <c r="N6" s="70"/>
      <c r="O6" s="60">
        <v>0.75</v>
      </c>
      <c r="P6" s="71"/>
    </row>
    <row r="7" spans="1:22" ht="13.9" customHeight="1">
      <c r="A7" s="4"/>
      <c r="B7" s="12" t="s">
        <v>32</v>
      </c>
      <c r="C7" s="13"/>
      <c r="D7" s="16"/>
      <c r="E7" s="16"/>
      <c r="F7" s="16"/>
      <c r="G7" s="16"/>
      <c r="H7" s="13"/>
      <c r="I7" s="13"/>
      <c r="J7" s="67"/>
      <c r="K7" s="68"/>
      <c r="L7" s="69"/>
      <c r="M7" s="70"/>
      <c r="N7" s="70"/>
      <c r="O7" s="70"/>
      <c r="P7" s="71"/>
    </row>
    <row r="8" spans="1:22" ht="13.9" customHeight="1">
      <c r="A8" s="4"/>
      <c r="B8" s="12"/>
      <c r="C8" s="16"/>
      <c r="D8" s="16"/>
      <c r="E8" s="16"/>
      <c r="F8" s="16"/>
      <c r="G8" s="16"/>
      <c r="H8" s="30" t="s">
        <v>10</v>
      </c>
      <c r="I8" s="5">
        <v>20</v>
      </c>
      <c r="J8" s="58">
        <v>-0.12</v>
      </c>
      <c r="K8" s="61"/>
      <c r="L8" s="60">
        <f>I8</f>
        <v>20</v>
      </c>
      <c r="M8" s="46"/>
      <c r="N8" s="46"/>
      <c r="O8" s="72">
        <f>L8</f>
        <v>20</v>
      </c>
      <c r="P8" s="73">
        <f>J8</f>
        <v>-0.12</v>
      </c>
    </row>
    <row r="9" spans="1:22" ht="13.9" customHeight="1">
      <c r="A9" s="4"/>
      <c r="B9" s="12" t="s">
        <v>6</v>
      </c>
      <c r="C9" s="19"/>
      <c r="D9" s="16"/>
      <c r="E9" s="16"/>
      <c r="F9" s="30" t="s">
        <v>5</v>
      </c>
      <c r="G9" s="6">
        <v>0.25</v>
      </c>
      <c r="H9" s="20">
        <f>IF(G$33&gt;0,G9/G$33,0)</f>
        <v>0.31227969686288332</v>
      </c>
      <c r="I9" s="18"/>
      <c r="J9" s="58">
        <f>E9</f>
        <v>0</v>
      </c>
      <c r="K9" s="61">
        <v>28</v>
      </c>
      <c r="L9" s="60">
        <f>L10</f>
        <v>12.193007578427917</v>
      </c>
      <c r="M9" s="62">
        <f t="shared" ref="M9:M28" si="0">$K$9</f>
        <v>28</v>
      </c>
      <c r="N9" s="61">
        <f t="shared" ref="N9:N28" si="1">$K$10</f>
        <v>-18</v>
      </c>
      <c r="O9" s="72">
        <f>L9+(L8-L9)*O6</f>
        <v>18.048251894606977</v>
      </c>
      <c r="P9" s="73">
        <f>P8-(P8*O6)</f>
        <v>-0.03</v>
      </c>
      <c r="R9" s="63" t="s">
        <v>118</v>
      </c>
    </row>
    <row r="10" spans="1:22" ht="13.9" customHeight="1">
      <c r="A10" s="4"/>
      <c r="B10" s="12"/>
      <c r="C10" s="15"/>
      <c r="D10" s="15"/>
      <c r="E10" s="15"/>
      <c r="F10" s="15"/>
      <c r="G10" s="15"/>
      <c r="H10" s="21"/>
      <c r="I10" s="7">
        <f>I$8-SUM(H$9:H10)*I$33</f>
        <v>12.193007578427917</v>
      </c>
      <c r="J10" s="59">
        <f>J9</f>
        <v>0</v>
      </c>
      <c r="K10" s="61">
        <v>-18</v>
      </c>
      <c r="L10" s="60">
        <f>I10</f>
        <v>12.193007578427917</v>
      </c>
      <c r="M10" s="62">
        <f t="shared" si="0"/>
        <v>28</v>
      </c>
      <c r="N10" s="61">
        <f t="shared" si="1"/>
        <v>-18</v>
      </c>
      <c r="O10" s="72">
        <f t="shared" ref="O10:O28" si="2">L10</f>
        <v>12.193007578427917</v>
      </c>
      <c r="P10" s="73">
        <f>J10</f>
        <v>0</v>
      </c>
    </row>
    <row r="11" spans="1:22" ht="13.9" customHeight="1">
      <c r="A11" s="51"/>
      <c r="B11" s="132">
        <f>IF($R$15=1,"Gipskarton",0)</f>
        <v>0</v>
      </c>
      <c r="C11" s="133"/>
      <c r="D11" s="6"/>
      <c r="E11" s="6">
        <f>IF($R$15=1,0.012,0)</f>
        <v>0</v>
      </c>
      <c r="F11" s="6">
        <f>IF($R$15=1,0.21,0)</f>
        <v>0</v>
      </c>
      <c r="G11" s="16">
        <f>IF(D11&gt;0,D11,IF(F11&gt;0,E11/F11,0))</f>
        <v>0</v>
      </c>
      <c r="H11" s="20">
        <f>IF(G$33&gt;0,G11/G$33,0)</f>
        <v>0</v>
      </c>
      <c r="I11" s="7"/>
      <c r="J11" s="58">
        <f>E11+J9</f>
        <v>0</v>
      </c>
      <c r="K11" s="61">
        <f>$K$10</f>
        <v>-18</v>
      </c>
      <c r="L11" s="60">
        <f>L12</f>
        <v>12.193007578427917</v>
      </c>
      <c r="M11" s="62">
        <f t="shared" si="0"/>
        <v>28</v>
      </c>
      <c r="N11" s="61">
        <f t="shared" si="1"/>
        <v>-18</v>
      </c>
      <c r="O11" s="72">
        <f t="shared" si="2"/>
        <v>12.193007578427917</v>
      </c>
      <c r="P11" s="73"/>
    </row>
    <row r="12" spans="1:22" ht="13.9" customHeight="1">
      <c r="A12" s="51"/>
      <c r="B12" s="74"/>
      <c r="C12" s="75"/>
      <c r="D12" s="75"/>
      <c r="E12" s="75"/>
      <c r="F12" s="75"/>
      <c r="G12" s="22"/>
      <c r="H12" s="15"/>
      <c r="I12" s="7">
        <f>I$8-SUM(H$9:H12)*I$33</f>
        <v>12.193007578427917</v>
      </c>
      <c r="J12" s="59">
        <f>J11</f>
        <v>0</v>
      </c>
      <c r="K12" s="61">
        <f>$K$9</f>
        <v>28</v>
      </c>
      <c r="L12" s="60">
        <f>I12</f>
        <v>12.193007578427917</v>
      </c>
      <c r="M12" s="62">
        <f t="shared" si="0"/>
        <v>28</v>
      </c>
      <c r="N12" s="61">
        <f t="shared" si="1"/>
        <v>-18</v>
      </c>
      <c r="O12" s="72">
        <f t="shared" si="2"/>
        <v>12.193007578427917</v>
      </c>
      <c r="P12" s="73"/>
      <c r="R12" s="117"/>
      <c r="S12" s="119" t="s">
        <v>38</v>
      </c>
      <c r="U12" s="119"/>
      <c r="V12" s="119" t="s">
        <v>130</v>
      </c>
    </row>
    <row r="13" spans="1:22" ht="13.9" customHeight="1">
      <c r="A13" s="51"/>
      <c r="B13" s="132">
        <f>IF($R$15=1,"Dämmung",0)</f>
        <v>0</v>
      </c>
      <c r="C13" s="133"/>
      <c r="D13" s="6"/>
      <c r="E13" s="6">
        <f>IF($R$15=1,R$18/1000,0)</f>
        <v>0</v>
      </c>
      <c r="F13" s="6">
        <f>IF($R$15=1,U16,0)</f>
        <v>0</v>
      </c>
      <c r="G13" s="16">
        <f>IF(D13&gt;0,D13,IF(F13&gt;0,E13/F13,0))</f>
        <v>0</v>
      </c>
      <c r="H13" s="20">
        <f>IF(G$33&gt;0,G13/G$33,0)</f>
        <v>0</v>
      </c>
      <c r="I13" s="7"/>
      <c r="J13" s="58">
        <f>E13+J11</f>
        <v>0</v>
      </c>
      <c r="K13" s="61">
        <f>$K$9</f>
        <v>28</v>
      </c>
      <c r="L13" s="60">
        <f>L14</f>
        <v>12.193007578427917</v>
      </c>
      <c r="M13" s="62">
        <f t="shared" si="0"/>
        <v>28</v>
      </c>
      <c r="N13" s="61">
        <f t="shared" si="1"/>
        <v>-18</v>
      </c>
      <c r="O13" s="72">
        <f t="shared" si="2"/>
        <v>12.193007578427917</v>
      </c>
      <c r="P13" s="73"/>
      <c r="R13" s="93"/>
    </row>
    <row r="14" spans="1:22" ht="13.9" customHeight="1">
      <c r="A14" s="51"/>
      <c r="B14" s="74"/>
      <c r="C14" s="75"/>
      <c r="D14" s="75"/>
      <c r="E14" s="75"/>
      <c r="F14" s="75"/>
      <c r="G14" s="22"/>
      <c r="H14" s="15"/>
      <c r="I14" s="7">
        <f>I$8-SUM(H$9:H14)*I$33</f>
        <v>12.193007578427917</v>
      </c>
      <c r="J14" s="59">
        <f>J13</f>
        <v>0</v>
      </c>
      <c r="K14" s="61">
        <f>$K$10</f>
        <v>-18</v>
      </c>
      <c r="L14" s="60">
        <f>I14</f>
        <v>12.193007578427917</v>
      </c>
      <c r="M14" s="62">
        <f t="shared" si="0"/>
        <v>28</v>
      </c>
      <c r="N14" s="61">
        <f t="shared" si="1"/>
        <v>-18</v>
      </c>
      <c r="O14" s="72">
        <f t="shared" si="2"/>
        <v>12.193007578427917</v>
      </c>
      <c r="P14" s="73"/>
      <c r="R14" s="115"/>
    </row>
    <row r="15" spans="1:22" ht="13.9" customHeight="1">
      <c r="A15" s="51"/>
      <c r="B15" s="132"/>
      <c r="C15" s="133"/>
      <c r="D15" s="6"/>
      <c r="E15" s="6"/>
      <c r="F15" s="6"/>
      <c r="G15" s="16">
        <f>IF(D15&gt;0,D15,IF(F15&gt;0,E15/F15,0))</f>
        <v>0</v>
      </c>
      <c r="H15" s="20">
        <f>IF(G$33&gt;0,G15/G$33,0)</f>
        <v>0</v>
      </c>
      <c r="I15" s="7"/>
      <c r="J15" s="58">
        <f>E15+J13</f>
        <v>0</v>
      </c>
      <c r="K15" s="61">
        <f>$K$10</f>
        <v>-18</v>
      </c>
      <c r="L15" s="60">
        <f>L16</f>
        <v>12.193007578427917</v>
      </c>
      <c r="M15" s="62">
        <f t="shared" si="0"/>
        <v>28</v>
      </c>
      <c r="N15" s="61">
        <f t="shared" si="1"/>
        <v>-18</v>
      </c>
      <c r="O15" s="72">
        <f t="shared" si="2"/>
        <v>12.193007578427917</v>
      </c>
      <c r="P15" s="73"/>
      <c r="R15" s="120">
        <f>IF(R16=FALSE,0,1)</f>
        <v>0</v>
      </c>
      <c r="S15" s="116" t="s">
        <v>55</v>
      </c>
    </row>
    <row r="16" spans="1:22" ht="13.9" customHeight="1">
      <c r="A16" s="51"/>
      <c r="B16" s="74"/>
      <c r="C16" s="75"/>
      <c r="D16" s="75"/>
      <c r="E16" s="75"/>
      <c r="F16" s="75"/>
      <c r="G16" s="22"/>
      <c r="H16" s="15"/>
      <c r="I16" s="7">
        <f>I$8-SUM(H$9:H16)*I$33</f>
        <v>12.193007578427917</v>
      </c>
      <c r="J16" s="59">
        <f>J15</f>
        <v>0</v>
      </c>
      <c r="K16" s="61">
        <f>$K$9</f>
        <v>28</v>
      </c>
      <c r="L16" s="60">
        <f>I16</f>
        <v>12.193007578427917</v>
      </c>
      <c r="M16" s="62">
        <f t="shared" si="0"/>
        <v>28</v>
      </c>
      <c r="N16" s="61">
        <f t="shared" si="1"/>
        <v>-18</v>
      </c>
      <c r="O16" s="72">
        <f t="shared" si="2"/>
        <v>12.193007578427917</v>
      </c>
      <c r="P16" s="73"/>
      <c r="R16" s="56" t="b">
        <v>0</v>
      </c>
      <c r="S16" s="118" t="str">
        <f>R18/10&amp;" cm"</f>
        <v>8 cm</v>
      </c>
      <c r="U16" s="158">
        <v>3.5000000000000003E-2</v>
      </c>
      <c r="V16" s="155" t="s">
        <v>127</v>
      </c>
    </row>
    <row r="17" spans="1:22" ht="13.9" customHeight="1">
      <c r="A17" s="51"/>
      <c r="B17" s="132" t="s">
        <v>7</v>
      </c>
      <c r="C17" s="133"/>
      <c r="D17" s="6"/>
      <c r="E17" s="6">
        <v>1.4999999999999999E-2</v>
      </c>
      <c r="F17" s="157">
        <v>0.7</v>
      </c>
      <c r="G17" s="16">
        <f>IF(D17&gt;0,D17,IF(F17&gt;0,E17/F17,0))</f>
        <v>2.1428571428571429E-2</v>
      </c>
      <c r="H17" s="20">
        <f>IF(G$33&gt;0,G17/G$33,0)</f>
        <v>2.6766831159675711E-2</v>
      </c>
      <c r="I17" s="7"/>
      <c r="J17" s="58">
        <f>E17+J15</f>
        <v>1.4999999999999999E-2</v>
      </c>
      <c r="K17" s="61">
        <f>$K$9</f>
        <v>28</v>
      </c>
      <c r="L17" s="60">
        <f>L18</f>
        <v>11.523836799436024</v>
      </c>
      <c r="M17" s="62">
        <f t="shared" si="0"/>
        <v>28</v>
      </c>
      <c r="N17" s="61">
        <f t="shared" si="1"/>
        <v>-18</v>
      </c>
      <c r="O17" s="72">
        <f t="shared" si="2"/>
        <v>11.523836799436024</v>
      </c>
      <c r="P17" s="73"/>
    </row>
    <row r="18" spans="1:22" ht="13.9" customHeight="1">
      <c r="A18" s="51"/>
      <c r="B18" s="74"/>
      <c r="C18" s="75"/>
      <c r="D18" s="75"/>
      <c r="E18" s="75"/>
      <c r="F18" s="75"/>
      <c r="G18" s="22"/>
      <c r="H18" s="15"/>
      <c r="I18" s="7">
        <f>I$8-SUM(H$9:H18)*I$33</f>
        <v>11.523836799436024</v>
      </c>
      <c r="J18" s="59">
        <f>J17</f>
        <v>1.4999999999999999E-2</v>
      </c>
      <c r="K18" s="61">
        <f>$K$10</f>
        <v>-18</v>
      </c>
      <c r="L18" s="60">
        <f>I18</f>
        <v>11.523836799436024</v>
      </c>
      <c r="M18" s="62">
        <f t="shared" si="0"/>
        <v>28</v>
      </c>
      <c r="N18" s="61">
        <f t="shared" si="1"/>
        <v>-18</v>
      </c>
      <c r="O18" s="72">
        <f t="shared" si="2"/>
        <v>11.523836799436024</v>
      </c>
      <c r="P18" s="73"/>
      <c r="R18" s="56">
        <v>80</v>
      </c>
    </row>
    <row r="19" spans="1:22" ht="13.9" customHeight="1">
      <c r="A19" s="4" t="s">
        <v>15</v>
      </c>
      <c r="B19" s="132" t="s">
        <v>8</v>
      </c>
      <c r="C19" s="133"/>
      <c r="D19" s="6"/>
      <c r="E19" s="6">
        <v>0.38</v>
      </c>
      <c r="F19" s="6">
        <v>0.81</v>
      </c>
      <c r="G19" s="16">
        <f>IF(D19&gt;0,D19,IF(F19&gt;0,E19/F19,0))</f>
        <v>0.46913580246913578</v>
      </c>
      <c r="H19" s="20">
        <f>IF(G$33&gt;0,G19/G$33,0)</f>
        <v>0.58600634473034885</v>
      </c>
      <c r="I19" s="7"/>
      <c r="J19" s="58">
        <f>E19+J17</f>
        <v>0.39500000000000002</v>
      </c>
      <c r="K19" s="61">
        <f>$K$10</f>
        <v>-18</v>
      </c>
      <c r="L19" s="60">
        <f>L20</f>
        <v>-3.1263218188226993</v>
      </c>
      <c r="M19" s="62">
        <f t="shared" si="0"/>
        <v>28</v>
      </c>
      <c r="N19" s="61">
        <f t="shared" si="1"/>
        <v>-18</v>
      </c>
      <c r="O19" s="72">
        <f t="shared" si="2"/>
        <v>-3.1263218188226993</v>
      </c>
      <c r="P19" s="73"/>
    </row>
    <row r="20" spans="1:22" ht="13.9" customHeight="1">
      <c r="A20" s="51"/>
      <c r="B20" s="74"/>
      <c r="C20" s="75"/>
      <c r="D20" s="75"/>
      <c r="E20" s="75"/>
      <c r="F20" s="75"/>
      <c r="G20" s="22"/>
      <c r="H20" s="15"/>
      <c r="I20" s="7">
        <f>I$8-SUM(H$9:H20)*I$33</f>
        <v>-3.1263218188226993</v>
      </c>
      <c r="J20" s="59">
        <f>J19</f>
        <v>0.39500000000000002</v>
      </c>
      <c r="K20" s="61">
        <f>$K$9</f>
        <v>28</v>
      </c>
      <c r="L20" s="60">
        <f>I20</f>
        <v>-3.1263218188226993</v>
      </c>
      <c r="M20" s="62">
        <f t="shared" si="0"/>
        <v>28</v>
      </c>
      <c r="N20" s="61">
        <f t="shared" si="1"/>
        <v>-18</v>
      </c>
      <c r="O20" s="72">
        <f t="shared" si="2"/>
        <v>-3.1263218188226993</v>
      </c>
      <c r="P20" s="73"/>
    </row>
    <row r="21" spans="1:22" ht="13.9" customHeight="1">
      <c r="A21" s="51"/>
      <c r="B21" s="132" t="s">
        <v>57</v>
      </c>
      <c r="C21" s="133"/>
      <c r="D21" s="6"/>
      <c r="E21" s="6">
        <v>0.02</v>
      </c>
      <c r="F21" s="6">
        <v>1</v>
      </c>
      <c r="G21" s="16">
        <f>IF(D21&gt;0,D21,IF(F21&gt;0,E21/F21,0))</f>
        <v>0.02</v>
      </c>
      <c r="H21" s="20">
        <f>IF(G$33&gt;0,G21/G$33,0)</f>
        <v>2.4982375749030665E-2</v>
      </c>
      <c r="I21" s="7"/>
      <c r="J21" s="58">
        <f>E21+J19</f>
        <v>0.41500000000000004</v>
      </c>
      <c r="K21" s="61">
        <f>$K$9</f>
        <v>28</v>
      </c>
      <c r="L21" s="60">
        <f>L22</f>
        <v>-3.7508812125484638</v>
      </c>
      <c r="M21" s="62">
        <f t="shared" si="0"/>
        <v>28</v>
      </c>
      <c r="N21" s="61">
        <f t="shared" si="1"/>
        <v>-18</v>
      </c>
      <c r="O21" s="72">
        <f t="shared" si="2"/>
        <v>-3.7508812125484638</v>
      </c>
      <c r="P21" s="73"/>
    </row>
    <row r="22" spans="1:22" ht="13.9" customHeight="1">
      <c r="A22" s="51"/>
      <c r="B22" s="74"/>
      <c r="C22" s="75"/>
      <c r="D22" s="75"/>
      <c r="E22" s="75"/>
      <c r="F22" s="75"/>
      <c r="G22" s="22"/>
      <c r="H22" s="15"/>
      <c r="I22" s="7">
        <f>I$8-SUM(H$9:H22)*I$33</f>
        <v>-3.7508812125484638</v>
      </c>
      <c r="J22" s="59">
        <f>J21</f>
        <v>0.41500000000000004</v>
      </c>
      <c r="K22" s="61">
        <f>$K$10</f>
        <v>-18</v>
      </c>
      <c r="L22" s="60">
        <f>I22</f>
        <v>-3.7508812125484638</v>
      </c>
      <c r="M22" s="62">
        <f t="shared" si="0"/>
        <v>28</v>
      </c>
      <c r="N22" s="61">
        <f t="shared" si="1"/>
        <v>-18</v>
      </c>
      <c r="O22" s="72">
        <f t="shared" si="2"/>
        <v>-3.7508812125484638</v>
      </c>
      <c r="P22" s="73"/>
      <c r="R22" s="115"/>
    </row>
    <row r="23" spans="1:22" ht="13.9" customHeight="1">
      <c r="A23" s="51"/>
      <c r="B23" s="132"/>
      <c r="C23" s="133"/>
      <c r="D23" s="6"/>
      <c r="E23" s="6"/>
      <c r="F23" s="6"/>
      <c r="G23" s="16">
        <f>IF(D23&gt;0,D23,IF(F23&gt;0,E23/F23,0))</f>
        <v>0</v>
      </c>
      <c r="H23" s="20">
        <f>IF(G$33&gt;0,G23/G$33,0)</f>
        <v>0</v>
      </c>
      <c r="I23" s="7"/>
      <c r="J23" s="58">
        <f>E23+J21</f>
        <v>0.41500000000000004</v>
      </c>
      <c r="K23" s="61">
        <f>$K$10</f>
        <v>-18</v>
      </c>
      <c r="L23" s="60">
        <f>L24</f>
        <v>-3.7508812125484638</v>
      </c>
      <c r="M23" s="62">
        <f t="shared" si="0"/>
        <v>28</v>
      </c>
      <c r="N23" s="61">
        <f t="shared" si="1"/>
        <v>-18</v>
      </c>
      <c r="O23" s="72">
        <f t="shared" si="2"/>
        <v>-3.7508812125484638</v>
      </c>
      <c r="P23" s="73"/>
      <c r="R23" s="120">
        <f>IF(R24=FALSE,0,1)</f>
        <v>0</v>
      </c>
      <c r="S23" s="116" t="s">
        <v>56</v>
      </c>
    </row>
    <row r="24" spans="1:22" ht="13.9" customHeight="1">
      <c r="A24" s="51"/>
      <c r="B24" s="74"/>
      <c r="C24" s="75"/>
      <c r="D24" s="75"/>
      <c r="E24" s="75"/>
      <c r="F24" s="75"/>
      <c r="G24" s="22"/>
      <c r="H24" s="15"/>
      <c r="I24" s="7">
        <f>I$8-SUM(H$9:H24)*I$33</f>
        <v>-3.7508812125484638</v>
      </c>
      <c r="J24" s="59">
        <f>J23</f>
        <v>0.41500000000000004</v>
      </c>
      <c r="K24" s="61">
        <f>$K$9</f>
        <v>28</v>
      </c>
      <c r="L24" s="60">
        <f>I24</f>
        <v>-3.7508812125484638</v>
      </c>
      <c r="M24" s="62">
        <f t="shared" si="0"/>
        <v>28</v>
      </c>
      <c r="N24" s="61">
        <f t="shared" si="1"/>
        <v>-18</v>
      </c>
      <c r="O24" s="72">
        <f t="shared" si="2"/>
        <v>-3.7508812125484638</v>
      </c>
      <c r="P24" s="73"/>
      <c r="R24" s="56" t="b">
        <v>0</v>
      </c>
      <c r="S24" s="118" t="str">
        <f>R26/10&amp;" cm"</f>
        <v>12 cm</v>
      </c>
      <c r="U24" s="158">
        <v>3.5000000000000003E-2</v>
      </c>
      <c r="V24" s="155" t="s">
        <v>127</v>
      </c>
    </row>
    <row r="25" spans="1:22" ht="13.9" customHeight="1">
      <c r="A25" s="51"/>
      <c r="B25" s="132">
        <f>IF($R$23=1,"Dämmung WDVS",0)</f>
        <v>0</v>
      </c>
      <c r="C25" s="133"/>
      <c r="D25" s="6"/>
      <c r="E25" s="6">
        <f>IF($R$23=1,R$26/1000,0)</f>
        <v>0</v>
      </c>
      <c r="F25" s="6">
        <f>IF($R$23=1,U24,0)</f>
        <v>0</v>
      </c>
      <c r="G25" s="16">
        <f>IF(D25&gt;0,D25,IF(F25&gt;0,E25/F25,0))</f>
        <v>0</v>
      </c>
      <c r="H25" s="20">
        <f>IF(G$33&gt;0,G25/G$33,0)</f>
        <v>0</v>
      </c>
      <c r="I25" s="7"/>
      <c r="J25" s="58">
        <f>E25+J23</f>
        <v>0.41500000000000004</v>
      </c>
      <c r="K25" s="61">
        <f>$K$9</f>
        <v>28</v>
      </c>
      <c r="L25" s="60">
        <f>L26</f>
        <v>-3.7508812125484638</v>
      </c>
      <c r="M25" s="62">
        <f t="shared" si="0"/>
        <v>28</v>
      </c>
      <c r="N25" s="61">
        <f t="shared" si="1"/>
        <v>-18</v>
      </c>
      <c r="O25" s="72">
        <f t="shared" si="2"/>
        <v>-3.7508812125484638</v>
      </c>
      <c r="P25" s="73"/>
    </row>
    <row r="26" spans="1:22" ht="13.9" customHeight="1">
      <c r="A26" s="51"/>
      <c r="B26" s="74"/>
      <c r="C26" s="75"/>
      <c r="D26" s="75"/>
      <c r="E26" s="75"/>
      <c r="F26" s="75"/>
      <c r="G26" s="22"/>
      <c r="H26" s="15"/>
      <c r="I26" s="7">
        <f>I$8-SUM(H$9:H26)*I$33</f>
        <v>-3.7508812125484638</v>
      </c>
      <c r="J26" s="59">
        <f>J25</f>
        <v>0.41500000000000004</v>
      </c>
      <c r="K26" s="61">
        <f>$K$10</f>
        <v>-18</v>
      </c>
      <c r="L26" s="60">
        <f>I26</f>
        <v>-3.7508812125484638</v>
      </c>
      <c r="M26" s="62">
        <f t="shared" si="0"/>
        <v>28</v>
      </c>
      <c r="N26" s="61">
        <f t="shared" si="1"/>
        <v>-18</v>
      </c>
      <c r="O26" s="72">
        <f t="shared" si="2"/>
        <v>-3.7508812125484638</v>
      </c>
      <c r="P26" s="73"/>
      <c r="R26" s="55">
        <v>120</v>
      </c>
    </row>
    <row r="27" spans="1:22" ht="13.9" customHeight="1">
      <c r="A27" s="51"/>
      <c r="B27" s="132">
        <f>IF($R$23=1,"Außenputz",0)</f>
        <v>0</v>
      </c>
      <c r="C27" s="133"/>
      <c r="D27" s="6"/>
      <c r="E27" s="6">
        <f>IF($R$23=1,0.01,0)</f>
        <v>0</v>
      </c>
      <c r="F27" s="6">
        <f>IF($R$23=1,1,0)</f>
        <v>0</v>
      </c>
      <c r="G27" s="16">
        <f>IF(D27&gt;0,D27,IF(F27&gt;0,E27/F27,0))</f>
        <v>0</v>
      </c>
      <c r="H27" s="20">
        <f>IF(G$33&gt;0,G27/G$33,0)</f>
        <v>0</v>
      </c>
      <c r="I27" s="7"/>
      <c r="J27" s="58">
        <f>E27+J25</f>
        <v>0.41500000000000004</v>
      </c>
      <c r="K27" s="61">
        <f>$K$10</f>
        <v>-18</v>
      </c>
      <c r="L27" s="60">
        <f>L28</f>
        <v>-3.7508812125484638</v>
      </c>
      <c r="M27" s="62">
        <f t="shared" si="0"/>
        <v>28</v>
      </c>
      <c r="N27" s="61">
        <f t="shared" si="1"/>
        <v>-18</v>
      </c>
      <c r="O27" s="72">
        <f t="shared" si="2"/>
        <v>-3.7508812125484638</v>
      </c>
      <c r="P27" s="73"/>
    </row>
    <row r="28" spans="1:22" ht="13.9" customHeight="1">
      <c r="A28" s="4"/>
      <c r="B28" s="12"/>
      <c r="C28" s="22"/>
      <c r="D28" s="22"/>
      <c r="E28" s="22"/>
      <c r="F28" s="22"/>
      <c r="G28" s="76"/>
      <c r="H28" s="13"/>
      <c r="I28" s="7">
        <f>I$8-SUM(H$9:H28)*I$33</f>
        <v>-3.7508812125484638</v>
      </c>
      <c r="J28" s="59">
        <f>J27</f>
        <v>0.41500000000000004</v>
      </c>
      <c r="K28" s="61">
        <f>$K$9</f>
        <v>28</v>
      </c>
      <c r="L28" s="60">
        <f>I28</f>
        <v>-3.7508812125484638</v>
      </c>
      <c r="M28" s="62">
        <f t="shared" si="0"/>
        <v>28</v>
      </c>
      <c r="N28" s="61">
        <f t="shared" si="1"/>
        <v>-18</v>
      </c>
      <c r="O28" s="72">
        <f t="shared" si="2"/>
        <v>-3.7508812125484638</v>
      </c>
      <c r="P28" s="73">
        <f>J28</f>
        <v>0.41500000000000004</v>
      </c>
    </row>
    <row r="29" spans="1:22" ht="13.9" customHeight="1">
      <c r="A29" s="4"/>
      <c r="B29" s="12" t="s">
        <v>53</v>
      </c>
      <c r="C29" s="19"/>
      <c r="D29" s="16"/>
      <c r="E29" s="16"/>
      <c r="F29" s="30" t="s">
        <v>4</v>
      </c>
      <c r="G29" s="6">
        <v>0.04</v>
      </c>
      <c r="H29" s="20">
        <f>IF(G$33&gt;0,G29/G$33,0)</f>
        <v>4.996475149806133E-2</v>
      </c>
      <c r="I29" s="18"/>
      <c r="J29" s="58">
        <f>E29+J27-J8</f>
        <v>0.53500000000000003</v>
      </c>
      <c r="K29" s="61"/>
      <c r="L29" s="60">
        <f>L30</f>
        <v>-5</v>
      </c>
      <c r="M29" s="46"/>
      <c r="N29" s="46"/>
      <c r="O29" s="72">
        <f>O30-(L29-L28)*(1-O6)</f>
        <v>-4.687720303137116</v>
      </c>
      <c r="P29" s="73">
        <f>P30+P8*O6</f>
        <v>0.44500000000000006</v>
      </c>
    </row>
    <row r="30" spans="1:22" ht="13.9" customHeight="1">
      <c r="A30" s="4"/>
      <c r="B30" s="23"/>
      <c r="C30" s="24"/>
      <c r="D30" s="24"/>
      <c r="E30" s="24"/>
      <c r="F30" s="16"/>
      <c r="G30" s="16"/>
      <c r="H30" s="30" t="s">
        <v>52</v>
      </c>
      <c r="I30" s="5">
        <v>-5</v>
      </c>
      <c r="J30" s="59">
        <f>J29</f>
        <v>0.53500000000000003</v>
      </c>
      <c r="K30" s="61"/>
      <c r="L30" s="60">
        <f>I30</f>
        <v>-5</v>
      </c>
      <c r="M30" s="46"/>
      <c r="N30" s="46"/>
      <c r="O30" s="72">
        <f>L30</f>
        <v>-5</v>
      </c>
      <c r="P30" s="73">
        <f>J30</f>
        <v>0.53500000000000003</v>
      </c>
    </row>
    <row r="31" spans="1:22" ht="13.9" customHeight="1">
      <c r="A31" s="4"/>
      <c r="B31" s="25"/>
      <c r="C31" s="26"/>
      <c r="D31" s="24"/>
      <c r="E31" s="24"/>
      <c r="F31" s="27"/>
      <c r="G31" s="16"/>
      <c r="H31" s="28"/>
      <c r="I31" s="28"/>
      <c r="J31" s="47"/>
      <c r="K31" s="44"/>
      <c r="L31" s="45"/>
      <c r="M31" s="46"/>
      <c r="N31" s="46"/>
      <c r="O31" s="46"/>
      <c r="P31" s="71"/>
    </row>
    <row r="32" spans="1:22" ht="13.9" customHeight="1">
      <c r="A32" s="4"/>
      <c r="B32" s="29" t="s">
        <v>23</v>
      </c>
      <c r="C32" s="26"/>
      <c r="D32" s="24"/>
      <c r="E32" s="24" t="s">
        <v>29</v>
      </c>
      <c r="F32" s="24"/>
      <c r="G32" s="24" t="s">
        <v>29</v>
      </c>
      <c r="H32" s="24" t="s">
        <v>29</v>
      </c>
      <c r="I32" s="24" t="s">
        <v>29</v>
      </c>
      <c r="J32" s="47"/>
      <c r="K32" s="44"/>
      <c r="L32" s="45"/>
      <c r="M32" s="46"/>
      <c r="N32" s="46"/>
      <c r="O32" s="46"/>
      <c r="P32" s="71"/>
    </row>
    <row r="33" spans="1:16" ht="13.9" customHeight="1">
      <c r="A33" s="4"/>
      <c r="B33" s="25" t="s">
        <v>22</v>
      </c>
      <c r="C33" s="91">
        <v>0.13</v>
      </c>
      <c r="D33" s="30"/>
      <c r="E33" s="16">
        <f>SUM(E11:E27)</f>
        <v>0.41500000000000004</v>
      </c>
      <c r="F33" s="31"/>
      <c r="G33" s="16">
        <f>SUM(G9:G29)</f>
        <v>0.80056437389770729</v>
      </c>
      <c r="H33" s="32">
        <f>SUM(H9:H29)</f>
        <v>0.99999999999999989</v>
      </c>
      <c r="I33" s="33">
        <f>I8-I30</f>
        <v>25</v>
      </c>
      <c r="J33" s="47"/>
      <c r="K33" s="44"/>
      <c r="L33" s="44"/>
      <c r="M33" s="44"/>
      <c r="N33" s="44"/>
      <c r="O33" s="44"/>
      <c r="P33" s="71"/>
    </row>
    <row r="34" spans="1:16" ht="13.9" customHeight="1">
      <c r="A34" s="4"/>
      <c r="B34" s="25" t="s">
        <v>4</v>
      </c>
      <c r="C34" s="92">
        <v>0.04</v>
      </c>
      <c r="D34" s="17"/>
      <c r="E34" s="17"/>
      <c r="F34" s="17"/>
      <c r="G34" s="13"/>
      <c r="H34" s="15"/>
      <c r="I34" s="15"/>
      <c r="J34" s="48"/>
      <c r="K34" s="49"/>
      <c r="L34" s="49"/>
      <c r="M34" s="49"/>
      <c r="N34" s="49"/>
      <c r="O34" s="49"/>
      <c r="P34" s="50"/>
    </row>
    <row r="35" spans="1:16" ht="13.9" customHeight="1">
      <c r="A35" s="4"/>
      <c r="B35" s="165" t="s">
        <v>9</v>
      </c>
      <c r="C35" s="167">
        <f>IF(AND(C33&gt;0,G33&gt;0),1/(G33-(G9+G29)+(C33+C34)),IF(G33&gt;0,1/G33,0))</f>
        <v>1.4693687156629003</v>
      </c>
      <c r="D35" s="169" t="s">
        <v>119</v>
      </c>
      <c r="E35" s="170"/>
      <c r="F35" s="165" t="s">
        <v>25</v>
      </c>
      <c r="G35" s="173" t="s">
        <v>39</v>
      </c>
      <c r="H35" s="173"/>
      <c r="I35" s="174" t="s">
        <v>13</v>
      </c>
      <c r="J35" s="34">
        <f>I10</f>
        <v>12.193007578427917</v>
      </c>
      <c r="K35" s="35" t="s">
        <v>14</v>
      </c>
      <c r="L35" s="36">
        <f>I30</f>
        <v>-5</v>
      </c>
      <c r="M35" s="174" t="s">
        <v>13</v>
      </c>
      <c r="N35" s="37">
        <f>J35-L35</f>
        <v>17.193007578427917</v>
      </c>
      <c r="O35" s="174" t="s">
        <v>13</v>
      </c>
      <c r="P35" s="170">
        <f>IF(N36&lt;&gt;0,N35/N36,0)</f>
        <v>0.68772030313711663</v>
      </c>
    </row>
    <row r="36" spans="1:16" ht="13.9" customHeight="1">
      <c r="A36" s="4"/>
      <c r="B36" s="166"/>
      <c r="C36" s="168"/>
      <c r="D36" s="171"/>
      <c r="E36" s="172"/>
      <c r="F36" s="166"/>
      <c r="G36" s="175" t="s">
        <v>40</v>
      </c>
      <c r="H36" s="175"/>
      <c r="I36" s="168"/>
      <c r="J36" s="38">
        <f>I8</f>
        <v>20</v>
      </c>
      <c r="K36" s="156" t="s">
        <v>14</v>
      </c>
      <c r="L36" s="39">
        <f>I30</f>
        <v>-5</v>
      </c>
      <c r="M36" s="168"/>
      <c r="N36" s="40">
        <f>J36-L36</f>
        <v>25</v>
      </c>
      <c r="O36" s="168"/>
      <c r="P36" s="172"/>
    </row>
    <row r="37" spans="1:16" ht="13.9" customHeight="1">
      <c r="A37" s="4" t="s">
        <v>15</v>
      </c>
      <c r="B37" s="137" t="s">
        <v>34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3.9" customHeight="1">
      <c r="A38" s="4" t="s">
        <v>15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6" ht="13.9" customHeight="1">
      <c r="A39" s="4" t="s">
        <v>15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6" ht="13.9" customHeight="1">
      <c r="A40" s="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3.9" customHeight="1">
      <c r="A41" s="4"/>
      <c r="B41" s="176" t="s">
        <v>24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8"/>
      <c r="P41" s="9" t="s">
        <v>16</v>
      </c>
    </row>
    <row r="42" spans="1:16" ht="13.9" customHeight="1">
      <c r="A42" s="4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0"/>
      <c r="P42" s="11"/>
    </row>
    <row r="43" spans="1:16" ht="13.9" customHeight="1">
      <c r="A43" s="4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6" ht="13.9" customHeight="1">
      <c r="A44" s="4"/>
      <c r="B44" s="80"/>
      <c r="C44" s="46" t="str">
        <f>"Luft im Raum:   "&amp;FIXED(G47,1)&amp;"°C   r.F.= "&amp;ROUND((M49*100),0)&amp;"%   ("&amp;ROUND(F60,1)&amp;" von max. "&amp;ROUND(K47,1)&amp;" g/m³)"</f>
        <v>Luft im Raum:   20,0°C   r.F.= 49%   (8,4 von max. 17,3 g/m³)</v>
      </c>
      <c r="D44" s="46"/>
      <c r="E44" s="46"/>
      <c r="F44" s="46"/>
      <c r="G44" s="46"/>
      <c r="H44" s="46"/>
      <c r="I44" s="104"/>
      <c r="J44" s="138" t="str">
        <f>"      Luft im Raum:    "&amp;FIXED(G47,1)&amp;"°C   r.F.=  "&amp;ROUND((M48*100),0)&amp;"%     ("&amp;ROUND(M60,1)&amp;" von max. "&amp;ROUND(K47,1)&amp;" g/m³)"</f>
        <v xml:space="preserve">      Luft im Raum:    20,0°C   r.F.=  61%     (10,5 von max. 17,3 g/m³)</v>
      </c>
      <c r="K44" s="46"/>
      <c r="L44" s="46"/>
      <c r="M44" s="46"/>
      <c r="N44" s="46"/>
      <c r="O44" s="46"/>
      <c r="P44" s="81"/>
    </row>
    <row r="45" spans="1:16" ht="13.9" customHeight="1">
      <c r="A45" s="4"/>
      <c r="B45" s="80"/>
      <c r="C45" s="46" t="str">
        <f>"Luft an Oberfl.:  "&amp;FIXED(G49,1)&amp;"°C   r.F.= "&amp;ROUND((E49*100),0)&amp;"%   ("&amp;ROUND(K49,1)&amp;" von max. "&amp;ROUND(K48,1)&amp;" g/m³)"</f>
        <v>Luft an Oberfl.:  12,2°C   r.F.= 80%   (8,6 von max. 10,8 g/m³)</v>
      </c>
      <c r="D45" s="46"/>
      <c r="E45" s="46"/>
      <c r="F45" s="46"/>
      <c r="G45" s="46"/>
      <c r="H45" s="46"/>
      <c r="I45" s="104"/>
      <c r="J45" s="46" t="str">
        <f>"      Luft an Oberfl.:   "&amp;FIXED(G48,1)&amp;"°C   r.F.= "&amp;ROUND((E48*100),0)&amp;"%    ("&amp;ROUND(K48,1)&amp;" von max. "&amp;ROUND(K48,1)&amp;" g/m³)"</f>
        <v xml:space="preserve">      Luft an Oberfl.:   12,2°C   r.F.= 100%    (10,8 von max. 10,8 g/m³)</v>
      </c>
      <c r="K45" s="46"/>
      <c r="L45" s="46"/>
      <c r="M45" s="46"/>
      <c r="N45" s="46"/>
      <c r="O45" s="46"/>
      <c r="P45" s="81"/>
    </row>
    <row r="46" spans="1:16" ht="13.9" customHeight="1">
      <c r="A46" s="4"/>
      <c r="B46" s="80"/>
      <c r="C46" s="46"/>
      <c r="D46" s="46"/>
      <c r="E46" s="46"/>
      <c r="F46" s="46"/>
      <c r="G46" s="46"/>
      <c r="H46" s="46"/>
      <c r="I46" s="104"/>
      <c r="J46" s="46"/>
      <c r="K46" s="46"/>
      <c r="L46" s="46"/>
      <c r="M46" s="46"/>
      <c r="N46" s="46"/>
      <c r="O46" s="46"/>
      <c r="P46" s="81"/>
    </row>
    <row r="47" spans="1:16" ht="13.9" customHeight="1">
      <c r="A47" s="4"/>
      <c r="B47" s="80"/>
      <c r="C47" s="86">
        <f>MAX(C48:C51)</f>
        <v>3</v>
      </c>
      <c r="D47" s="87"/>
      <c r="E47" s="88">
        <v>1</v>
      </c>
      <c r="F47" s="89" t="s">
        <v>41</v>
      </c>
      <c r="G47" s="90">
        <f>I8</f>
        <v>20</v>
      </c>
      <c r="H47" s="105" t="s">
        <v>44</v>
      </c>
      <c r="I47" s="111">
        <f>IF(G47&lt;=0,4.689*(1.486+G47/100)^12.3,288.68*(1.098+G47/100)^8.02)</f>
        <v>2338.1896306956355</v>
      </c>
      <c r="J47" s="106" t="s">
        <v>45</v>
      </c>
      <c r="K47" s="17">
        <f>I47/((273.15+G47)*461.5)*1000</f>
        <v>17.282960059647511</v>
      </c>
      <c r="L47" s="90" t="s">
        <v>46</v>
      </c>
      <c r="M47" s="88" t="s">
        <v>47</v>
      </c>
      <c r="N47" s="86">
        <f>MAX(N48:N51)</f>
        <v>1</v>
      </c>
      <c r="O47" s="87"/>
      <c r="P47" s="81"/>
    </row>
    <row r="48" spans="1:16" ht="13.9" customHeight="1">
      <c r="A48" s="4"/>
      <c r="B48" s="80"/>
      <c r="C48" s="3">
        <f>IF(M$49&gt;=0.6,1,0)</f>
        <v>0</v>
      </c>
      <c r="D48" s="2" t="s">
        <v>18</v>
      </c>
      <c r="E48" s="88">
        <v>1</v>
      </c>
      <c r="F48" s="89" t="s">
        <v>42</v>
      </c>
      <c r="G48" s="90">
        <f>I10</f>
        <v>12.193007578427917</v>
      </c>
      <c r="H48" s="105" t="s">
        <v>44</v>
      </c>
      <c r="I48" s="111">
        <f>IF(G48&lt;=0,4.689*(1.486+G48/100)^12.3,288.68*(1.098+G48/100)^8.02)</f>
        <v>1421.748905585699</v>
      </c>
      <c r="J48" s="106" t="s">
        <v>45</v>
      </c>
      <c r="K48" s="17">
        <f>I48/((273.15+G48)*461.5)*1000</f>
        <v>10.796524205391457</v>
      </c>
      <c r="L48" s="90" t="s">
        <v>46</v>
      </c>
      <c r="M48" s="88">
        <f>K48*H53/K47</f>
        <v>0.60805543182685062</v>
      </c>
      <c r="N48" s="3">
        <f>IF(M$48&gt;=0.6,1,0)</f>
        <v>1</v>
      </c>
      <c r="O48" s="2" t="s">
        <v>18</v>
      </c>
      <c r="P48" s="81"/>
    </row>
    <row r="49" spans="1:16" ht="13.9" customHeight="1">
      <c r="A49" s="4"/>
      <c r="B49" s="80"/>
      <c r="C49" s="3">
        <f>IF(AND(M$49&lt;0.6,M$49&gt;=0.5),2,0)</f>
        <v>0</v>
      </c>
      <c r="D49" s="2" t="s">
        <v>19</v>
      </c>
      <c r="E49" s="88">
        <f>B80</f>
        <v>0.8</v>
      </c>
      <c r="F49" s="89" t="s">
        <v>42</v>
      </c>
      <c r="G49" s="90">
        <f>I10</f>
        <v>12.193007578427917</v>
      </c>
      <c r="H49" s="105" t="s">
        <v>44</v>
      </c>
      <c r="I49" s="111">
        <f>IF(G49&lt;=0,4.689*(1.486+G49/100)^12.3,288.68*(1.098+G49/100)^8.02)*E49</f>
        <v>1137.3991244685592</v>
      </c>
      <c r="J49" s="106" t="s">
        <v>45</v>
      </c>
      <c r="K49" s="17">
        <f>I49/((273.15+G49)*461.5)*1000</f>
        <v>8.6372193643131663</v>
      </c>
      <c r="L49" s="90" t="s">
        <v>46</v>
      </c>
      <c r="M49" s="88">
        <f>K49*H53/K47</f>
        <v>0.48644434546148052</v>
      </c>
      <c r="N49" s="3">
        <f>IF(AND(M$48&lt;0.6,M$48&gt;=0.5),2,0)</f>
        <v>0</v>
      </c>
      <c r="O49" s="2" t="s">
        <v>19</v>
      </c>
      <c r="P49" s="81"/>
    </row>
    <row r="50" spans="1:16" ht="13.9" customHeight="1">
      <c r="A50" s="4"/>
      <c r="B50" s="80"/>
      <c r="C50" s="3">
        <f>IF(AND(M$49&lt;0.5,M$49&gt;=0.4),3,0)</f>
        <v>3</v>
      </c>
      <c r="D50" s="2" t="s">
        <v>21</v>
      </c>
      <c r="E50" s="88">
        <v>1</v>
      </c>
      <c r="F50" s="89" t="s">
        <v>43</v>
      </c>
      <c r="G50" s="90">
        <f>I30</f>
        <v>-5</v>
      </c>
      <c r="H50" s="105" t="s">
        <v>44</v>
      </c>
      <c r="I50" s="111">
        <f>IF(G50&lt;=0,4.689*(1.486+G50/100)^12.3,288.68*(1.098+G50/100)^8.02)</f>
        <v>401.86468553457718</v>
      </c>
      <c r="J50" s="106" t="s">
        <v>45</v>
      </c>
      <c r="K50" s="17">
        <f>I50/((273.15+G50)*461.5)*1000</f>
        <v>3.2473592526827693</v>
      </c>
      <c r="L50" s="90" t="s">
        <v>46</v>
      </c>
      <c r="M50" s="88"/>
      <c r="N50" s="3">
        <f>IF(AND(M$48&lt;0.5,M$48&gt;=0.4),3,0)</f>
        <v>0</v>
      </c>
      <c r="O50" s="2" t="s">
        <v>21</v>
      </c>
      <c r="P50" s="81"/>
    </row>
    <row r="51" spans="1:16" ht="13.9" customHeight="1">
      <c r="A51" s="4"/>
      <c r="B51" s="80"/>
      <c r="C51" s="3">
        <f>IF(M$49&lt;0.4,4,0)</f>
        <v>0</v>
      </c>
      <c r="D51" s="2" t="s">
        <v>20</v>
      </c>
      <c r="E51" s="46"/>
      <c r="F51" s="46"/>
      <c r="G51" s="46"/>
      <c r="H51" s="46"/>
      <c r="I51" s="46"/>
      <c r="J51" s="46"/>
      <c r="K51" s="46"/>
      <c r="L51" s="46"/>
      <c r="M51" s="46"/>
      <c r="N51" s="3">
        <f>IF(M$48&lt;0.4,4,0)</f>
        <v>0</v>
      </c>
      <c r="O51" s="2" t="s">
        <v>20</v>
      </c>
      <c r="P51" s="81"/>
    </row>
    <row r="52" spans="1:16" ht="13.9" customHeight="1">
      <c r="A52" s="4"/>
      <c r="B52" s="80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81"/>
    </row>
    <row r="53" spans="1:16" ht="13.9" customHeight="1">
      <c r="A53" s="4"/>
      <c r="B53" s="80"/>
      <c r="C53" s="46"/>
      <c r="D53" s="46"/>
      <c r="E53" s="101">
        <f>C67</f>
        <v>1</v>
      </c>
      <c r="F53" s="46"/>
      <c r="G53" s="147">
        <v>273.14999999999998</v>
      </c>
      <c r="H53" s="46">
        <f>(G53+G48)/(G53+G47)</f>
        <v>0.97336860848858231</v>
      </c>
      <c r="I53" s="46"/>
      <c r="J53" s="46"/>
      <c r="K53" s="46"/>
      <c r="L53" s="46"/>
      <c r="M53" s="46"/>
      <c r="N53" s="46"/>
      <c r="O53" s="46"/>
      <c r="P53" s="81"/>
    </row>
    <row r="54" spans="1:16" ht="13.9" customHeight="1">
      <c r="A54" s="4"/>
      <c r="B54" s="80"/>
      <c r="C54" s="46"/>
      <c r="D54" s="46"/>
      <c r="E54" s="101">
        <f>C64</f>
        <v>0.8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81"/>
    </row>
    <row r="55" spans="1:16" ht="13.9" customHeight="1">
      <c r="A55" s="4"/>
      <c r="B55" s="80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81"/>
    </row>
    <row r="56" spans="1:16" ht="13.9" customHeight="1">
      <c r="A56" s="4"/>
      <c r="B56" s="80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81"/>
    </row>
    <row r="57" spans="1:16" ht="13.9" customHeight="1">
      <c r="A57" s="4"/>
      <c r="B57" s="80"/>
      <c r="C57" s="46"/>
      <c r="D57" s="46"/>
      <c r="E57" s="95">
        <v>0</v>
      </c>
      <c r="F57" s="95">
        <f>K49</f>
        <v>8.6372193643131663</v>
      </c>
      <c r="G57" s="46"/>
      <c r="H57" s="46"/>
      <c r="I57" s="46"/>
      <c r="J57" s="46"/>
      <c r="K57" s="46"/>
      <c r="L57" s="95">
        <v>0</v>
      </c>
      <c r="M57" s="95">
        <f>K48</f>
        <v>10.796524205391457</v>
      </c>
      <c r="N57" s="46"/>
      <c r="O57" s="46"/>
      <c r="P57" s="81"/>
    </row>
    <row r="58" spans="1:16" ht="13.9" customHeight="1">
      <c r="A58" s="4"/>
      <c r="B58" s="80"/>
      <c r="C58" s="46"/>
      <c r="D58" s="100" t="s">
        <v>51</v>
      </c>
      <c r="E58" s="95">
        <f>G49</f>
        <v>12.193007578427917</v>
      </c>
      <c r="F58" s="95">
        <f>E58</f>
        <v>12.193007578427917</v>
      </c>
      <c r="G58" s="46"/>
      <c r="H58" s="46"/>
      <c r="I58" s="46"/>
      <c r="J58" s="46"/>
      <c r="K58" s="46"/>
      <c r="L58" s="95">
        <f>G48</f>
        <v>12.193007578427917</v>
      </c>
      <c r="M58" s="95">
        <f>L58</f>
        <v>12.193007578427917</v>
      </c>
      <c r="N58" s="46"/>
      <c r="O58" s="46"/>
      <c r="P58" s="81"/>
    </row>
    <row r="59" spans="1:16" ht="13.9" customHeight="1">
      <c r="A59" s="4"/>
      <c r="B59" s="80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6" ht="13.9" customHeight="1">
      <c r="A60" s="4"/>
      <c r="B60" s="80"/>
      <c r="C60" s="46"/>
      <c r="D60" s="46"/>
      <c r="E60" s="95">
        <v>0</v>
      </c>
      <c r="F60" s="95">
        <f>F57*H53</f>
        <v>8.4071981938521443</v>
      </c>
      <c r="G60" s="46"/>
      <c r="H60" s="46"/>
      <c r="I60" s="46"/>
      <c r="J60" s="46"/>
      <c r="K60" s="46"/>
      <c r="L60" s="95">
        <v>0</v>
      </c>
      <c r="M60" s="95">
        <f>K48*H53</f>
        <v>10.508997742315179</v>
      </c>
      <c r="N60" s="46"/>
      <c r="O60" s="46"/>
      <c r="P60" s="81"/>
    </row>
    <row r="61" spans="1:16" ht="13.9" customHeight="1">
      <c r="A61" s="4"/>
      <c r="B61" s="80"/>
      <c r="C61" s="46"/>
      <c r="D61" s="100" t="s">
        <v>50</v>
      </c>
      <c r="E61" s="95">
        <f>G47</f>
        <v>20</v>
      </c>
      <c r="F61" s="95">
        <f>E61</f>
        <v>20</v>
      </c>
      <c r="G61" s="46"/>
      <c r="H61" s="46"/>
      <c r="I61" s="46"/>
      <c r="J61" s="46"/>
      <c r="K61" s="46"/>
      <c r="L61" s="95">
        <f>G47</f>
        <v>20</v>
      </c>
      <c r="M61" s="95">
        <f>L61</f>
        <v>20</v>
      </c>
      <c r="N61" s="46"/>
      <c r="O61" s="46"/>
      <c r="P61" s="81"/>
    </row>
    <row r="62" spans="1:16" ht="13.9" customHeight="1">
      <c r="A62" s="4"/>
      <c r="B62" s="80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81"/>
    </row>
    <row r="63" spans="1:16" ht="13.9" customHeight="1">
      <c r="A63" s="4"/>
      <c r="B63" s="80"/>
      <c r="C63" s="46"/>
      <c r="D63" s="46"/>
      <c r="E63" s="46"/>
      <c r="F63" s="46"/>
      <c r="G63" s="46"/>
      <c r="H63" s="46"/>
      <c r="I63" s="104"/>
      <c r="J63" s="46"/>
      <c r="K63" s="46"/>
      <c r="L63" s="46"/>
      <c r="M63" s="46"/>
      <c r="N63" s="46"/>
      <c r="O63" s="46"/>
      <c r="P63" s="81"/>
    </row>
    <row r="64" spans="1:16" ht="13.9" customHeight="1">
      <c r="A64" s="4"/>
      <c r="B64" s="80"/>
      <c r="C64" s="97">
        <f t="shared" ref="C64:O64" si="3">$E49</f>
        <v>0.8</v>
      </c>
      <c r="D64" s="97">
        <f t="shared" si="3"/>
        <v>0.8</v>
      </c>
      <c r="E64" s="97">
        <f t="shared" si="3"/>
        <v>0.8</v>
      </c>
      <c r="F64" s="97">
        <f t="shared" si="3"/>
        <v>0.8</v>
      </c>
      <c r="G64" s="97">
        <f t="shared" si="3"/>
        <v>0.8</v>
      </c>
      <c r="H64" s="97">
        <f t="shared" si="3"/>
        <v>0.8</v>
      </c>
      <c r="I64" s="112">
        <f t="shared" si="3"/>
        <v>0.8</v>
      </c>
      <c r="J64" s="97">
        <f t="shared" si="3"/>
        <v>0.8</v>
      </c>
      <c r="K64" s="97">
        <f t="shared" si="3"/>
        <v>0.8</v>
      </c>
      <c r="L64" s="97">
        <f t="shared" si="3"/>
        <v>0.8</v>
      </c>
      <c r="M64" s="97">
        <f t="shared" si="3"/>
        <v>0.8</v>
      </c>
      <c r="N64" s="97">
        <f t="shared" si="3"/>
        <v>0.8</v>
      </c>
      <c r="O64" s="97">
        <f t="shared" si="3"/>
        <v>0.8</v>
      </c>
      <c r="P64" s="81"/>
    </row>
    <row r="65" spans="1:16" ht="13.9" customHeight="1">
      <c r="A65" s="4"/>
      <c r="B65" s="99"/>
      <c r="C65" s="57">
        <f>C66/((273.15+C70)*461.5)*1000*C64</f>
        <v>0.44372247332317721</v>
      </c>
      <c r="D65" s="57">
        <f t="shared" ref="D65:J65" si="4">D66/((273.15+D70)*461.5)*1000*D64</f>
        <v>0.7084096952427501</v>
      </c>
      <c r="E65" s="57">
        <f t="shared" si="4"/>
        <v>1.1105696994573482</v>
      </c>
      <c r="F65" s="57">
        <f t="shared" si="4"/>
        <v>1.7119176612103517</v>
      </c>
      <c r="G65" s="57">
        <f t="shared" si="4"/>
        <v>2.5978874021462155</v>
      </c>
      <c r="H65" s="107">
        <f t="shared" si="4"/>
        <v>3.8853367454401182</v>
      </c>
      <c r="I65" s="111">
        <f t="shared" si="4"/>
        <v>5.4423924595383788</v>
      </c>
      <c r="J65" s="109">
        <f t="shared" si="4"/>
        <v>7.5256166709804546</v>
      </c>
      <c r="K65" s="57">
        <f>K66/((273.15+K70)*461.5)*1000*K64</f>
        <v>10.26496159411175</v>
      </c>
      <c r="L65" s="57">
        <f>L66/((273.15+L70)*461.5)*1000*L64</f>
        <v>13.82636804771801</v>
      </c>
      <c r="M65" s="57">
        <f>M66/((273.15+M70)*461.5)*1000*M64</f>
        <v>18.408275271565099</v>
      </c>
      <c r="N65" s="57">
        <f>N66/((273.15+N70)*461.5)*1000*N64</f>
        <v>24.246269070414641</v>
      </c>
      <c r="O65" s="57">
        <f>O66/((273.15+O70)*461.5)*1000*O64</f>
        <v>31.618165787340743</v>
      </c>
      <c r="P65" s="81"/>
    </row>
    <row r="66" spans="1:16" ht="13.9" customHeight="1">
      <c r="A66" s="4"/>
      <c r="B66" s="80"/>
      <c r="C66" s="57">
        <f>IF(C70&lt;=0,4.689*(1.486+C70/100)^12.3,288.68*(1.098+C70/100)^8.02)</f>
        <v>63.519551506250089</v>
      </c>
      <c r="D66" s="57">
        <f t="shared" ref="D66:J66" si="5">IF(D70&lt;=0,4.689*(1.486+D70/100)^12.3,288.68*(1.098+D70/100)^8.02)</f>
        <v>103.45325184106132</v>
      </c>
      <c r="E66" s="57">
        <f t="shared" si="5"/>
        <v>165.38635199091624</v>
      </c>
      <c r="F66" s="57">
        <f t="shared" si="5"/>
        <v>259.87707208834138</v>
      </c>
      <c r="G66" s="57">
        <f t="shared" si="5"/>
        <v>401.86468553457718</v>
      </c>
      <c r="H66" s="107">
        <f t="shared" si="5"/>
        <v>612.22574540728851</v>
      </c>
      <c r="I66" s="111">
        <f t="shared" si="5"/>
        <v>873.27421874925847</v>
      </c>
      <c r="J66" s="109">
        <f t="shared" si="5"/>
        <v>1229.2504541488943</v>
      </c>
      <c r="K66" s="57">
        <f>IF(K70&lt;=0,4.689*(1.486+K70/100)^12.3,288.68*(1.098+K70/100)^8.02)</f>
        <v>1706.3089592036661</v>
      </c>
      <c r="L66" s="57">
        <f>IF(L70&lt;=0,4.689*(1.486+L70/100)^12.3,288.68*(1.098+L70/100)^8.02)</f>
        <v>2338.1896306956355</v>
      </c>
      <c r="M66" s="57">
        <f>IF(M70&lt;=0,4.689*(1.486+M70/100)^12.3,288.68*(1.098+M70/100)^8.02)</f>
        <v>3166.1364826602589</v>
      </c>
      <c r="N66" s="57">
        <f>IF(N70&lt;=0,4.689*(1.486+N70/100)^12.3,288.68*(1.098+N70/100)^8.02)</f>
        <v>4240.1792003791188</v>
      </c>
      <c r="O66" s="57">
        <f>IF(O70&lt;=0,4.689*(1.486+O70/100)^12.3,288.68*(1.098+O70/100)^8.02)</f>
        <v>5620.5726110885189</v>
      </c>
      <c r="P66" s="81"/>
    </row>
    <row r="67" spans="1:16" ht="13.9" customHeight="1">
      <c r="A67" s="4"/>
      <c r="B67" s="82"/>
      <c r="C67" s="97">
        <f t="shared" ref="C67:O67" si="6">$E48</f>
        <v>1</v>
      </c>
      <c r="D67" s="97">
        <f t="shared" si="6"/>
        <v>1</v>
      </c>
      <c r="E67" s="97">
        <f t="shared" si="6"/>
        <v>1</v>
      </c>
      <c r="F67" s="97">
        <f t="shared" si="6"/>
        <v>1</v>
      </c>
      <c r="G67" s="97">
        <f t="shared" si="6"/>
        <v>1</v>
      </c>
      <c r="H67" s="97">
        <f t="shared" si="6"/>
        <v>1</v>
      </c>
      <c r="I67" s="112">
        <f t="shared" si="6"/>
        <v>1</v>
      </c>
      <c r="J67" s="97">
        <f t="shared" si="6"/>
        <v>1</v>
      </c>
      <c r="K67" s="97">
        <f t="shared" si="6"/>
        <v>1</v>
      </c>
      <c r="L67" s="97">
        <f t="shared" si="6"/>
        <v>1</v>
      </c>
      <c r="M67" s="97">
        <f t="shared" si="6"/>
        <v>1</v>
      </c>
      <c r="N67" s="97">
        <f t="shared" si="6"/>
        <v>1</v>
      </c>
      <c r="O67" s="97">
        <f t="shared" si="6"/>
        <v>1</v>
      </c>
      <c r="P67" s="83"/>
    </row>
    <row r="68" spans="1:16" ht="13.9" customHeight="1">
      <c r="A68" s="4"/>
      <c r="B68" s="99"/>
      <c r="C68" s="57">
        <f>C69/((273.15+C70)*461.5)*1000*C67</f>
        <v>0.55465309165397148</v>
      </c>
      <c r="D68" s="57">
        <f t="shared" ref="D68:J68" si="7">D69/((273.15+D70)*461.5)*1000*D67</f>
        <v>0.88551211905343763</v>
      </c>
      <c r="E68" s="57">
        <f t="shared" si="7"/>
        <v>1.3882121243216852</v>
      </c>
      <c r="F68" s="57">
        <f t="shared" si="7"/>
        <v>2.1398970765129395</v>
      </c>
      <c r="G68" s="57">
        <f t="shared" si="7"/>
        <v>3.2473592526827693</v>
      </c>
      <c r="H68" s="107">
        <f t="shared" si="7"/>
        <v>4.8566709318001475</v>
      </c>
      <c r="I68" s="111">
        <f t="shared" si="7"/>
        <v>6.8029905744229726</v>
      </c>
      <c r="J68" s="109">
        <f t="shared" si="7"/>
        <v>9.4070208387255683</v>
      </c>
      <c r="K68" s="57">
        <f>K69/((273.15+K70)*461.5)*1000*K67</f>
        <v>12.831201992639686</v>
      </c>
      <c r="L68" s="57">
        <f>L69/((273.15+L70)*461.5)*1000*L67</f>
        <v>17.282960059647511</v>
      </c>
      <c r="M68" s="57">
        <f>M69/((273.15+M70)*461.5)*1000*M67</f>
        <v>23.010344089456375</v>
      </c>
      <c r="N68" s="57">
        <f>N69/((273.15+N70)*461.5)*1000*N67</f>
        <v>30.307836338018301</v>
      </c>
      <c r="O68" s="57">
        <f>O69/((273.15+O70)*461.5)*1000*O67</f>
        <v>39.522707234175925</v>
      </c>
      <c r="P68" s="83"/>
    </row>
    <row r="69" spans="1:16" ht="13.9" customHeight="1">
      <c r="A69" s="4"/>
      <c r="B69" s="96"/>
      <c r="C69" s="57">
        <f>IF(C70&lt;=0,4.689*(1.486+C70/100)^12.3,288.68*(1.098+C70/100)^8.02)</f>
        <v>63.519551506250089</v>
      </c>
      <c r="D69" s="57">
        <f t="shared" ref="D69:J69" si="8">IF(D70&lt;=0,4.689*(1.486+D70/100)^12.3,288.68*(1.098+D70/100)^8.02)</f>
        <v>103.45325184106132</v>
      </c>
      <c r="E69" s="57">
        <f t="shared" si="8"/>
        <v>165.38635199091624</v>
      </c>
      <c r="F69" s="57">
        <f t="shared" si="8"/>
        <v>259.87707208834138</v>
      </c>
      <c r="G69" s="57">
        <f t="shared" si="8"/>
        <v>401.86468553457718</v>
      </c>
      <c r="H69" s="107">
        <f t="shared" si="8"/>
        <v>612.22574540728851</v>
      </c>
      <c r="I69" s="111">
        <f t="shared" si="8"/>
        <v>873.27421874925847</v>
      </c>
      <c r="J69" s="109">
        <f t="shared" si="8"/>
        <v>1229.2504541488943</v>
      </c>
      <c r="K69" s="57">
        <f>IF(K70&lt;=0,4.689*(1.486+K70/100)^12.3,288.68*(1.098+K70/100)^8.02)</f>
        <v>1706.3089592036661</v>
      </c>
      <c r="L69" s="57">
        <f>IF(L70&lt;=0,4.689*(1.486+L70/100)^12.3,288.68*(1.098+L70/100)^8.02)</f>
        <v>2338.1896306956355</v>
      </c>
      <c r="M69" s="57">
        <f>IF(M70&lt;=0,4.689*(1.486+M70/100)^12.3,288.68*(1.098+M70/100)^8.02)</f>
        <v>3166.1364826602589</v>
      </c>
      <c r="N69" s="57">
        <f>IF(N70&lt;=0,4.689*(1.486+N70/100)^12.3,288.68*(1.098+N70/100)^8.02)</f>
        <v>4240.1792003791188</v>
      </c>
      <c r="O69" s="57">
        <f>IF(O70&lt;=0,4.689*(1.486+O70/100)^12.3,288.68*(1.098+O70/100)^8.02)</f>
        <v>5620.5726110885189</v>
      </c>
      <c r="P69" s="81"/>
    </row>
    <row r="70" spans="1:16" ht="13.9" customHeight="1">
      <c r="A70" s="4"/>
      <c r="B70" s="96"/>
      <c r="C70" s="98">
        <v>-25</v>
      </c>
      <c r="D70" s="98">
        <v>-20</v>
      </c>
      <c r="E70" s="98">
        <v>-15</v>
      </c>
      <c r="F70" s="98">
        <v>-10</v>
      </c>
      <c r="G70" s="98">
        <v>-5</v>
      </c>
      <c r="H70" s="108">
        <v>0</v>
      </c>
      <c r="I70" s="113">
        <v>5</v>
      </c>
      <c r="J70" s="110">
        <v>10</v>
      </c>
      <c r="K70" s="98">
        <v>15</v>
      </c>
      <c r="L70" s="98">
        <v>20</v>
      </c>
      <c r="M70" s="98">
        <v>25</v>
      </c>
      <c r="N70" s="98">
        <v>30</v>
      </c>
      <c r="O70" s="98">
        <v>35</v>
      </c>
      <c r="P70" s="81"/>
    </row>
    <row r="71" spans="1:16" ht="13.9" customHeight="1">
      <c r="A71" s="4"/>
      <c r="B71" s="80"/>
      <c r="C71" s="46"/>
      <c r="D71" s="46"/>
      <c r="E71" s="46"/>
      <c r="F71" s="46"/>
      <c r="G71" s="46"/>
      <c r="H71" s="46"/>
      <c r="I71" s="104"/>
      <c r="J71" s="46"/>
      <c r="K71" s="46"/>
      <c r="L71" s="46"/>
      <c r="M71" s="46"/>
      <c r="N71" s="46"/>
      <c r="O71" s="46"/>
      <c r="P71" s="81"/>
    </row>
    <row r="72" spans="1:16" ht="13.9" customHeight="1">
      <c r="A72" s="4"/>
      <c r="B72" s="80"/>
      <c r="C72" s="46"/>
      <c r="D72" s="46"/>
      <c r="E72" s="46"/>
      <c r="F72" s="46"/>
      <c r="G72" s="46"/>
      <c r="H72" s="46"/>
      <c r="I72" s="46"/>
      <c r="J72" s="46"/>
      <c r="K72" s="114"/>
      <c r="L72" s="46"/>
      <c r="M72" s="46"/>
      <c r="N72" s="46"/>
      <c r="O72" s="46"/>
      <c r="P72" s="81"/>
    </row>
    <row r="73" spans="1:16" ht="13.9" customHeight="1">
      <c r="A73" s="4"/>
      <c r="B73" s="43" t="s">
        <v>17</v>
      </c>
      <c r="C73" s="180"/>
      <c r="D73" s="180" t="s">
        <v>48</v>
      </c>
      <c r="E73" s="182">
        <f>IF(M49&lt;=1,M49,"?")</f>
        <v>0.48644434546148052</v>
      </c>
      <c r="F73" s="184" t="s">
        <v>26</v>
      </c>
      <c r="G73" s="184"/>
      <c r="H73" s="184"/>
      <c r="I73" s="184"/>
      <c r="J73" s="180" t="s">
        <v>48</v>
      </c>
      <c r="K73" s="182">
        <f>IF(M48&lt;=1,M48,"?")</f>
        <v>0.60805543182685062</v>
      </c>
      <c r="L73" s="184" t="s">
        <v>27</v>
      </c>
      <c r="M73" s="184"/>
      <c r="N73" s="184"/>
      <c r="O73" s="184"/>
      <c r="P73" s="43" t="s">
        <v>17</v>
      </c>
    </row>
    <row r="74" spans="1:16" ht="13.9" customHeight="1">
      <c r="A74" s="4"/>
      <c r="B74" s="42" t="str">
        <f>INDEX(D48:D51,C47)</f>
        <v>Gefahr !</v>
      </c>
      <c r="C74" s="181"/>
      <c r="D74" s="181"/>
      <c r="E74" s="183"/>
      <c r="F74" s="185"/>
      <c r="G74" s="185"/>
      <c r="H74" s="185"/>
      <c r="I74" s="185"/>
      <c r="J74" s="181"/>
      <c r="K74" s="183"/>
      <c r="L74" s="185"/>
      <c r="M74" s="185"/>
      <c r="N74" s="185"/>
      <c r="O74" s="185"/>
      <c r="P74" s="41" t="str">
        <f>INDEX(O48:O51,N47)</f>
        <v>unkritisch</v>
      </c>
    </row>
    <row r="75" spans="1:16" ht="13.9" customHeight="1">
      <c r="A75" s="4" t="s">
        <v>15</v>
      </c>
      <c r="B75" s="137" t="s">
        <v>28</v>
      </c>
      <c r="C75" s="137"/>
      <c r="D75" s="137" t="s">
        <v>129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</row>
    <row r="76" spans="1:16" ht="13.9" customHeight="1">
      <c r="A76" s="4" t="s">
        <v>15</v>
      </c>
      <c r="B76" s="135"/>
      <c r="C76" s="135"/>
      <c r="D76" s="135" t="s">
        <v>54</v>
      </c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9" spans="1:16" ht="13.9" customHeight="1">
      <c r="B79" s="4" t="s">
        <v>58</v>
      </c>
    </row>
    <row r="80" spans="1:16" ht="13.9" customHeight="1">
      <c r="A80" s="54"/>
      <c r="B80" s="52">
        <v>0.8</v>
      </c>
      <c r="C80" s="84" t="s">
        <v>36</v>
      </c>
      <c r="D80" s="84"/>
      <c r="E80" s="84"/>
      <c r="F80" s="85"/>
    </row>
    <row r="81" spans="1:6" ht="13.9" customHeight="1">
      <c r="A81" s="1"/>
      <c r="B81" s="94"/>
      <c r="C81" s="84" t="s">
        <v>37</v>
      </c>
      <c r="F81" s="85"/>
    </row>
    <row r="82" spans="1:6" ht="13.9" customHeight="1">
      <c r="A82" s="1"/>
      <c r="B82" s="53">
        <f>IF(B80&lt;&gt;0.8,"Achtung!",0)</f>
        <v>0</v>
      </c>
      <c r="C82" s="116" t="s">
        <v>49</v>
      </c>
    </row>
  </sheetData>
  <sheetProtection algorithmName="SHA-512" hashValue="PiaxKjT9vfJjyy25RuuG5lFAKEa9oqbc4NC5IjI/V1KUcCbK/rO4DsIHvY82Z0iTdd0P+pYGWdLUHlMtNQXgDA==" saltValue="dwwzhGJnkiDcG8VIM4VR0w==" spinCount="100000" sheet="1" objects="1" scenarios="1"/>
  <mergeCells count="19">
    <mergeCell ref="B3:N4"/>
    <mergeCell ref="B35:B36"/>
    <mergeCell ref="C35:C36"/>
    <mergeCell ref="D35:E36"/>
    <mergeCell ref="F35:F36"/>
    <mergeCell ref="G35:H35"/>
    <mergeCell ref="I35:I36"/>
    <mergeCell ref="M35:M36"/>
    <mergeCell ref="O35:O36"/>
    <mergeCell ref="P35:P36"/>
    <mergeCell ref="G36:H36"/>
    <mergeCell ref="B41:N42"/>
    <mergeCell ref="C73:C74"/>
    <mergeCell ref="D73:D74"/>
    <mergeCell ref="E73:E74"/>
    <mergeCell ref="F73:I74"/>
    <mergeCell ref="J73:J74"/>
    <mergeCell ref="K73:K74"/>
    <mergeCell ref="L73:O74"/>
  </mergeCells>
  <conditionalFormatting sqref="G11 G27 G13 G17 G19 G21 G23 G25 G15">
    <cfRule type="expression" dxfId="23" priority="10" stopIfTrue="1">
      <formula>AND($R$3=1,D11&gt;0)</formula>
    </cfRule>
    <cfRule type="expression" dxfId="22" priority="11" stopIfTrue="1">
      <formula>$R$3=1</formula>
    </cfRule>
  </conditionalFormatting>
  <conditionalFormatting sqref="I47:I50 I64:I70">
    <cfRule type="expression" dxfId="21" priority="12" stopIfTrue="1">
      <formula>$R$3=1</formula>
    </cfRule>
  </conditionalFormatting>
  <conditionalFormatting sqref="J51:M51 E51:H51 B3:P4 P74 D33:I34 B35:E36 B74 J5:P34 G5:G8 H5:I7 B12:G12 B14:G14 B16:G16 B18:G18 B20:G20 B22:G22 B24:G24 B26:G26 B28:G28 P41:P72 I71:I74 J67:O67 B6:F8 B41:B72 C67:H67 C70:H74 J70:O74 J52:O64 C52:H64 I51:I63 C41:O46 B5:C5 E5:F5 B10:G10 B9:E9 H9:I29 B30:G31 B29:E29 H31:I32 B32:B34 D32:G32 G35:P36">
    <cfRule type="expression" dxfId="20" priority="13" stopIfTrue="1">
      <formula>$R$3=1</formula>
    </cfRule>
  </conditionalFormatting>
  <conditionalFormatting sqref="C33">
    <cfRule type="cellIs" dxfId="19" priority="14" stopIfTrue="1" operator="greaterThan">
      <formula>0</formula>
    </cfRule>
  </conditionalFormatting>
  <conditionalFormatting sqref="P73">
    <cfRule type="expression" dxfId="18" priority="15" stopIfTrue="1">
      <formula>$K$73&gt;0.6</formula>
    </cfRule>
    <cfRule type="expression" dxfId="17" priority="16" stopIfTrue="1">
      <formula>$K$73&gt;0.4</formula>
    </cfRule>
    <cfRule type="expression" dxfId="16" priority="17" stopIfTrue="1">
      <formula>$K$73&lt;=0.4</formula>
    </cfRule>
  </conditionalFormatting>
  <conditionalFormatting sqref="C34">
    <cfRule type="expression" dxfId="15" priority="18" stopIfTrue="1">
      <formula>$C$33&gt;0</formula>
    </cfRule>
  </conditionalFormatting>
  <conditionalFormatting sqref="D13 D11 D15 D17 D19 D21 D23 D27 D25">
    <cfRule type="expression" dxfId="14" priority="19" stopIfTrue="1">
      <formula>AND($R$3=1,D11&gt;0)</formula>
    </cfRule>
  </conditionalFormatting>
  <conditionalFormatting sqref="C82">
    <cfRule type="expression" dxfId="13" priority="20" stopIfTrue="1">
      <formula>$B$80&lt;&gt;0.8</formula>
    </cfRule>
  </conditionalFormatting>
  <conditionalFormatting sqref="B73">
    <cfRule type="expression" dxfId="12" priority="21" stopIfTrue="1">
      <formula>$E$73&gt;0.6</formula>
    </cfRule>
    <cfRule type="expression" dxfId="11" priority="22" stopIfTrue="1">
      <formula>$E$73&gt;0.4</formula>
    </cfRule>
    <cfRule type="expression" dxfId="10" priority="23" stopIfTrue="1">
      <formula>$E$73&lt;=0.4</formula>
    </cfRule>
  </conditionalFormatting>
  <conditionalFormatting sqref="B37:P39 B1:P1 B75:P76">
    <cfRule type="expression" dxfId="9" priority="24" stopIfTrue="1">
      <formula>$R$1=1</formula>
    </cfRule>
  </conditionalFormatting>
  <conditionalFormatting sqref="U24">
    <cfRule type="expression" dxfId="8" priority="9" stopIfTrue="1">
      <formula>$R$3=1</formula>
    </cfRule>
  </conditionalFormatting>
  <conditionalFormatting sqref="U16">
    <cfRule type="expression" dxfId="7" priority="8" stopIfTrue="1">
      <formula>$R$3=1</formula>
    </cfRule>
  </conditionalFormatting>
  <conditionalFormatting sqref="D5">
    <cfRule type="expression" dxfId="6" priority="7" stopIfTrue="1">
      <formula>$R$3=1</formula>
    </cfRule>
  </conditionalFormatting>
  <conditionalFormatting sqref="F9">
    <cfRule type="expression" dxfId="5" priority="6" stopIfTrue="1">
      <formula>$R$3=1</formula>
    </cfRule>
  </conditionalFormatting>
  <conditionalFormatting sqref="H8">
    <cfRule type="expression" dxfId="4" priority="5" stopIfTrue="1">
      <formula>$R$3=1</formula>
    </cfRule>
  </conditionalFormatting>
  <conditionalFormatting sqref="F29">
    <cfRule type="expression" dxfId="3" priority="4" stopIfTrue="1">
      <formula>$R$3=1</formula>
    </cfRule>
  </conditionalFormatting>
  <conditionalFormatting sqref="H30">
    <cfRule type="expression" dxfId="2" priority="3" stopIfTrue="1">
      <formula>$R$3=1</formula>
    </cfRule>
  </conditionalFormatting>
  <conditionalFormatting sqref="C32">
    <cfRule type="expression" dxfId="1" priority="2" stopIfTrue="1">
      <formula>$R$3=1</formula>
    </cfRule>
  </conditionalFormatting>
  <conditionalFormatting sqref="F35:F36">
    <cfRule type="expression" dxfId="0" priority="1" stopIfTrue="1">
      <formula>$R$3=1</formula>
    </cfRule>
  </conditionalFormatting>
  <dataValidations count="2">
    <dataValidation type="decimal" allowBlank="1" showInputMessage="1" showErrorMessage="1" sqref="I8 I30">
      <formula1>-20</formula1>
      <formula2>30</formula2>
    </dataValidation>
    <dataValidation type="decimal" allowBlank="1" showInputMessage="1" showErrorMessage="1" sqref="B80">
      <formula1>0.6499</formula1>
      <formula2>0.9501</formula2>
    </dataValidation>
  </dataValidations>
  <pageMargins left="0.78740157480314965" right="0.19685039370078741" top="0.78740157480314965" bottom="0.78740157480314965" header="0.51181102362204722" footer="0.51181102362204722"/>
  <pageSetup paperSize="9" scale="70" orientation="portrait" horizontalDpi="4294967294" r:id="rId1"/>
  <headerFooter>
    <oddFooter>&amp;L&amp;D&amp;C&amp;A&amp;R&amp;F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1">
    <tabColor indexed="31"/>
    <pageSetUpPr fitToPage="1"/>
  </sheetPr>
  <dimension ref="A1:R237"/>
  <sheetViews>
    <sheetView showGridLines="0" workbookViewId="0"/>
  </sheetViews>
  <sheetFormatPr baseColWidth="10" defaultColWidth="8.6328125" defaultRowHeight="15.9" customHeight="1"/>
  <cols>
    <col min="1" max="1" width="3.6328125" style="143" customWidth="1"/>
    <col min="2" max="16" width="8.6328125" customWidth="1"/>
    <col min="17" max="17" width="3.6328125" customWidth="1"/>
  </cols>
  <sheetData>
    <row r="1" spans="1:17" ht="15.9" customHeight="1">
      <c r="A1" s="144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44"/>
    </row>
    <row r="2" spans="1:17" ht="15.9" customHeight="1">
      <c r="A2" s="139"/>
      <c r="B2" s="103"/>
      <c r="C2" s="154" t="s">
        <v>126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2"/>
    </row>
    <row r="3" spans="1:17" ht="15.9" customHeight="1">
      <c r="A3" s="139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2"/>
    </row>
    <row r="4" spans="1:17" ht="15.9" customHeight="1">
      <c r="A4" s="139"/>
      <c r="B4" s="103"/>
      <c r="C4" s="193" t="s">
        <v>59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02"/>
    </row>
    <row r="5" spans="1:17" ht="15.9" customHeight="1">
      <c r="A5" s="139"/>
      <c r="B5" s="10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02"/>
    </row>
    <row r="6" spans="1:17" ht="15.9" customHeight="1">
      <c r="A6" s="139"/>
      <c r="B6" s="103"/>
      <c r="C6" s="193" t="s">
        <v>60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02"/>
    </row>
    <row r="7" spans="1:17" ht="15.9" customHeight="1">
      <c r="A7" s="139"/>
      <c r="B7" s="10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02"/>
    </row>
    <row r="8" spans="1:17" ht="15.9" customHeight="1">
      <c r="A8" s="139"/>
      <c r="B8" s="103"/>
      <c r="C8" s="193" t="s">
        <v>75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03"/>
      <c r="Q8" s="102"/>
    </row>
    <row r="9" spans="1:17" ht="15.9" customHeight="1">
      <c r="A9" s="139"/>
      <c r="B9" s="10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03"/>
      <c r="Q9" s="102"/>
    </row>
    <row r="10" spans="1:17" ht="15.9" customHeight="1">
      <c r="A10" s="139"/>
      <c r="B10" s="103"/>
      <c r="C10" s="193" t="s">
        <v>61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02"/>
    </row>
    <row r="11" spans="1:17" ht="15.9" customHeight="1">
      <c r="A11" s="139"/>
      <c r="B11" s="10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02"/>
    </row>
    <row r="12" spans="1:17" ht="15.9" customHeight="1">
      <c r="A12" s="139"/>
      <c r="B12" s="103"/>
      <c r="C12" s="193" t="s">
        <v>62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03"/>
      <c r="Q12" s="102"/>
    </row>
    <row r="13" spans="1:17" ht="15.9" customHeight="1">
      <c r="A13" s="139"/>
      <c r="B13" s="10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03"/>
      <c r="Q13" s="102"/>
    </row>
    <row r="14" spans="1:17" ht="15.9" customHeight="1">
      <c r="A14" s="139"/>
      <c r="B14" s="103"/>
      <c r="O14" s="121"/>
      <c r="P14" s="103"/>
      <c r="Q14" s="102"/>
    </row>
    <row r="15" spans="1:17" ht="15.9" customHeight="1">
      <c r="A15" s="139"/>
      <c r="B15" s="103"/>
      <c r="C15" s="193" t="s">
        <v>63</v>
      </c>
      <c r="D15" s="193"/>
      <c r="E15" s="193"/>
      <c r="F15" s="193"/>
      <c r="G15" s="193"/>
      <c r="H15" s="193"/>
      <c r="I15" s="193" t="s">
        <v>64</v>
      </c>
      <c r="J15" s="193"/>
      <c r="K15" s="193"/>
      <c r="L15" s="193"/>
      <c r="M15" s="193"/>
      <c r="N15" s="193"/>
      <c r="O15" s="121"/>
      <c r="P15" s="103"/>
      <c r="Q15" s="102"/>
    </row>
    <row r="16" spans="1:17" ht="15.9" customHeight="1">
      <c r="A16" s="139"/>
      <c r="B16" s="10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21"/>
      <c r="P16" s="103"/>
      <c r="Q16" s="102"/>
    </row>
    <row r="17" spans="1:17" ht="15.9" customHeight="1">
      <c r="A17" s="139"/>
      <c r="B17" s="103"/>
      <c r="O17" s="121"/>
      <c r="P17" s="103"/>
      <c r="Q17" s="102"/>
    </row>
    <row r="18" spans="1:17" ht="15.9" customHeight="1">
      <c r="A18" s="139"/>
      <c r="B18" s="103"/>
      <c r="C18" s="193" t="s">
        <v>65</v>
      </c>
      <c r="D18" s="193"/>
      <c r="E18" s="193"/>
      <c r="F18" s="193"/>
      <c r="G18" s="193"/>
      <c r="H18" s="193"/>
      <c r="I18" s="193" t="s">
        <v>67</v>
      </c>
      <c r="J18" s="193"/>
      <c r="K18" s="193"/>
      <c r="L18" s="193"/>
      <c r="M18" s="193"/>
      <c r="N18" s="193"/>
      <c r="O18" s="121"/>
      <c r="P18" s="103"/>
      <c r="Q18" s="102"/>
    </row>
    <row r="19" spans="1:17" ht="15.9" customHeight="1">
      <c r="A19" s="139"/>
      <c r="B19" s="10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21"/>
      <c r="P19" s="103"/>
      <c r="Q19" s="102"/>
    </row>
    <row r="20" spans="1:17" ht="15.9" customHeight="1">
      <c r="A20" s="139"/>
      <c r="B20" s="103"/>
      <c r="O20" s="121"/>
      <c r="P20" s="103"/>
      <c r="Q20" s="102"/>
    </row>
    <row r="21" spans="1:17" ht="15.9" customHeight="1">
      <c r="A21" s="139"/>
      <c r="B21" s="103"/>
      <c r="C21" s="193" t="s">
        <v>66</v>
      </c>
      <c r="D21" s="193"/>
      <c r="E21" s="193"/>
      <c r="F21" s="193"/>
      <c r="G21" s="193"/>
      <c r="H21" s="193"/>
      <c r="I21" s="193" t="s">
        <v>68</v>
      </c>
      <c r="J21" s="193"/>
      <c r="K21" s="193"/>
      <c r="L21" s="193"/>
      <c r="M21" s="193"/>
      <c r="N21" s="193"/>
      <c r="O21" s="121"/>
      <c r="P21" s="103"/>
      <c r="Q21" s="102"/>
    </row>
    <row r="22" spans="1:17" ht="15.9" customHeight="1">
      <c r="A22" s="139"/>
      <c r="B22" s="10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21"/>
      <c r="P22" s="103"/>
      <c r="Q22" s="102"/>
    </row>
    <row r="23" spans="1:17" ht="15.9" customHeight="1">
      <c r="A23" s="139"/>
      <c r="B23" s="103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03"/>
      <c r="Q23" s="102"/>
    </row>
    <row r="24" spans="1:17" ht="15.9" customHeight="1">
      <c r="A24" s="139"/>
      <c r="B24" s="103"/>
      <c r="C24" s="193" t="s">
        <v>69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02"/>
    </row>
    <row r="25" spans="1:17" ht="15.9" customHeight="1">
      <c r="A25" s="139"/>
      <c r="B25" s="10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02"/>
    </row>
    <row r="26" spans="1:17" ht="15.9" customHeight="1">
      <c r="A26" s="139"/>
      <c r="B26" s="103"/>
      <c r="C26" s="193" t="s">
        <v>70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02"/>
    </row>
    <row r="27" spans="1:17" ht="15.9" customHeight="1">
      <c r="A27" s="139"/>
      <c r="B27" s="10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02"/>
    </row>
    <row r="28" spans="1:17" ht="15.9" customHeight="1">
      <c r="A28" s="139"/>
      <c r="B28" s="103"/>
      <c r="C28" s="193" t="s">
        <v>74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03"/>
      <c r="Q28" s="102"/>
    </row>
    <row r="29" spans="1:17" ht="15.9" customHeight="1">
      <c r="A29" s="139"/>
      <c r="B29" s="10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03"/>
      <c r="Q29" s="102"/>
    </row>
    <row r="30" spans="1:17" ht="15.9" customHeight="1">
      <c r="A30" s="139"/>
      <c r="B30" s="103"/>
      <c r="C30" s="193" t="s">
        <v>71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03"/>
      <c r="Q30" s="102"/>
    </row>
    <row r="31" spans="1:17" ht="15.9" customHeight="1">
      <c r="A31" s="139"/>
      <c r="B31" s="10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03"/>
      <c r="Q31" s="102"/>
    </row>
    <row r="32" spans="1:17" ht="15.9" customHeight="1">
      <c r="A32" s="139"/>
      <c r="B32" s="103"/>
      <c r="C32" s="193" t="s">
        <v>79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03"/>
      <c r="Q32" s="102"/>
    </row>
    <row r="33" spans="1:17" ht="15.9" customHeight="1">
      <c r="A33" s="139"/>
      <c r="B33" s="10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03"/>
      <c r="Q33" s="102"/>
    </row>
    <row r="34" spans="1:17" ht="15.9" customHeight="1">
      <c r="A34" s="139"/>
      <c r="B34" s="103"/>
      <c r="C34" s="193" t="s">
        <v>72</v>
      </c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03"/>
      <c r="Q34" s="102"/>
    </row>
    <row r="35" spans="1:17" ht="15.9" customHeight="1">
      <c r="A35" s="139"/>
      <c r="B35" s="10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03"/>
      <c r="Q35" s="102"/>
    </row>
    <row r="36" spans="1:17" ht="15.9" customHeight="1">
      <c r="A36" s="139"/>
      <c r="B36" s="103"/>
      <c r="C36" s="193" t="s">
        <v>73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03"/>
      <c r="Q36" s="102"/>
    </row>
    <row r="37" spans="1:17" ht="15.9" customHeight="1">
      <c r="A37" s="139"/>
      <c r="B37" s="10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03"/>
      <c r="Q37" s="102"/>
    </row>
    <row r="38" spans="1:17" ht="15.9" customHeight="1">
      <c r="A38" s="139"/>
      <c r="B38" s="10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03"/>
      <c r="Q38" s="102"/>
    </row>
    <row r="39" spans="1:17" ht="15.9" customHeight="1">
      <c r="A39" s="139"/>
      <c r="B39" s="10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03"/>
      <c r="Q39" s="102"/>
    </row>
    <row r="40" spans="1:17" ht="15.9" customHeight="1">
      <c r="A40" s="139"/>
      <c r="B40" s="103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03"/>
      <c r="Q40" s="102"/>
    </row>
    <row r="41" spans="1:17" ht="15.9" customHeight="1">
      <c r="A41" s="139"/>
      <c r="B41" s="103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03"/>
      <c r="Q41" s="102"/>
    </row>
    <row r="42" spans="1:17" ht="15.9" customHeight="1">
      <c r="A42" s="139"/>
      <c r="B42" s="103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03"/>
      <c r="Q42" s="102"/>
    </row>
    <row r="43" spans="1:17" ht="15.9" customHeight="1">
      <c r="A43" s="139"/>
      <c r="B43" s="103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03"/>
      <c r="Q43" s="102"/>
    </row>
    <row r="44" spans="1:17" ht="15.9" customHeight="1">
      <c r="A44" s="139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2"/>
    </row>
    <row r="45" spans="1:17" ht="15.9" customHeight="1">
      <c r="A45" s="139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2"/>
    </row>
    <row r="46" spans="1:17" ht="15.9" customHeight="1">
      <c r="A46" s="139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2"/>
    </row>
    <row r="47" spans="1:17" ht="15.9" customHeight="1">
      <c r="A47" s="139"/>
      <c r="Q47" s="102"/>
    </row>
    <row r="48" spans="1:17" ht="15.9" customHeight="1">
      <c r="A48" s="139"/>
      <c r="Q48" s="102"/>
    </row>
    <row r="49" spans="1:17" ht="15.9" customHeight="1">
      <c r="A49" s="139"/>
      <c r="Q49" s="102"/>
    </row>
    <row r="50" spans="1:17" ht="15.9" customHeight="1">
      <c r="A50" s="139"/>
      <c r="Q50" s="102"/>
    </row>
    <row r="51" spans="1:17" ht="15.9" customHeight="1">
      <c r="A51" s="139"/>
      <c r="Q51" s="102"/>
    </row>
    <row r="52" spans="1:17" ht="15.9" customHeight="1">
      <c r="A52" s="139"/>
      <c r="Q52" s="102"/>
    </row>
    <row r="53" spans="1:17" ht="15.9" customHeight="1">
      <c r="A53" s="140"/>
      <c r="Q53" s="102"/>
    </row>
    <row r="54" spans="1:17" ht="15.9" customHeight="1">
      <c r="A54" s="140"/>
      <c r="Q54" s="102"/>
    </row>
    <row r="55" spans="1:17" ht="15.9" customHeight="1">
      <c r="A55" s="140"/>
      <c r="Q55" s="102"/>
    </row>
    <row r="56" spans="1:17" ht="15.9" customHeight="1">
      <c r="A56" s="140"/>
      <c r="Q56" s="102"/>
    </row>
    <row r="57" spans="1:17" ht="15.9" customHeight="1">
      <c r="A57" s="140"/>
      <c r="Q57" s="102"/>
    </row>
    <row r="58" spans="1:17" ht="15.9" customHeight="1">
      <c r="A58" s="140"/>
      <c r="Q58" s="102"/>
    </row>
    <row r="59" spans="1:17" ht="15.9" customHeight="1">
      <c r="A59" s="140"/>
      <c r="Q59" s="102"/>
    </row>
    <row r="60" spans="1:17" ht="15.9" customHeight="1">
      <c r="A60" s="140"/>
      <c r="Q60" s="102"/>
    </row>
    <row r="61" spans="1:17" ht="15.9" customHeight="1">
      <c r="A61" s="140"/>
      <c r="Q61" s="102"/>
    </row>
    <row r="62" spans="1:17" ht="15.9" customHeight="1">
      <c r="A62" s="140"/>
      <c r="Q62" s="102"/>
    </row>
    <row r="63" spans="1:17" ht="15.9" customHeight="1">
      <c r="A63" s="140"/>
      <c r="Q63" s="102"/>
    </row>
    <row r="64" spans="1:17" ht="15.9" customHeight="1">
      <c r="A64" s="140"/>
      <c r="Q64" s="102"/>
    </row>
    <row r="65" spans="1:18" ht="15.9" customHeight="1">
      <c r="A65" s="140"/>
      <c r="D65" s="122"/>
      <c r="E65" s="145" t="s">
        <v>124</v>
      </c>
      <c r="I65" s="145" t="s">
        <v>78</v>
      </c>
      <c r="M65" s="145" t="s">
        <v>128</v>
      </c>
      <c r="Q65" s="102"/>
    </row>
    <row r="66" spans="1:18" ht="15.9" customHeight="1">
      <c r="A66" s="140"/>
      <c r="Q66" s="102"/>
    </row>
    <row r="67" spans="1:18" ht="15.9" customHeight="1">
      <c r="A67" s="140"/>
      <c r="Q67" s="102"/>
    </row>
    <row r="68" spans="1:18" ht="15.9" customHeight="1">
      <c r="A68" s="140"/>
      <c r="Q68" s="102"/>
    </row>
    <row r="69" spans="1:18" ht="15.9" customHeight="1">
      <c r="A69" s="140"/>
      <c r="Q69" s="102"/>
    </row>
    <row r="70" spans="1:18" ht="15.9" customHeight="1">
      <c r="A70" s="140"/>
      <c r="Q70" s="102"/>
    </row>
    <row r="71" spans="1:18" ht="15.9" customHeight="1">
      <c r="A71" s="140"/>
      <c r="Q71" s="102"/>
    </row>
    <row r="72" spans="1:18" ht="15.9" customHeight="1">
      <c r="A72" s="140"/>
      <c r="E72" s="146" t="s">
        <v>76</v>
      </c>
      <c r="H72" s="123"/>
      <c r="I72" s="146" t="s">
        <v>76</v>
      </c>
      <c r="M72" s="146" t="s">
        <v>76</v>
      </c>
      <c r="Q72" s="102"/>
    </row>
    <row r="73" spans="1:18" ht="15.9" customHeight="1">
      <c r="A73" s="140"/>
      <c r="E73" s="146" t="s">
        <v>77</v>
      </c>
      <c r="H73" s="123"/>
      <c r="I73" s="146" t="s">
        <v>77</v>
      </c>
      <c r="M73" s="146" t="s">
        <v>77</v>
      </c>
      <c r="Q73" s="102"/>
    </row>
    <row r="74" spans="1:18" ht="15.9" customHeight="1">
      <c r="A74" s="140"/>
      <c r="Q74" s="102"/>
    </row>
    <row r="75" spans="1:18" ht="15.9" customHeight="1">
      <c r="A75" s="140"/>
      <c r="B75" s="148"/>
      <c r="C75" s="150"/>
      <c r="D75" s="151" t="s">
        <v>123</v>
      </c>
      <c r="E75" s="152"/>
      <c r="F75" s="152" t="s">
        <v>122</v>
      </c>
      <c r="Q75" s="102"/>
    </row>
    <row r="76" spans="1:18" ht="15.9" customHeight="1">
      <c r="A76" s="140"/>
      <c r="B76" s="149"/>
      <c r="C76" s="149"/>
      <c r="D76" s="152"/>
      <c r="E76" s="153"/>
      <c r="F76" s="152" t="s">
        <v>125</v>
      </c>
      <c r="Q76" s="102"/>
    </row>
    <row r="77" spans="1:18" ht="15.9" customHeight="1">
      <c r="A77" s="140"/>
      <c r="Q77" s="102"/>
    </row>
    <row r="78" spans="1:18" ht="15.9" customHeight="1">
      <c r="A78" s="14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44"/>
    </row>
    <row r="79" spans="1:18" ht="15.9" customHeight="1">
      <c r="A79" s="141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4"/>
      <c r="R79" s="103"/>
    </row>
    <row r="80" spans="1:18" ht="15.9" customHeight="1">
      <c r="A80" s="141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4"/>
      <c r="R80" s="103"/>
    </row>
    <row r="81" spans="1:18" ht="15.9" customHeight="1">
      <c r="A81" s="141"/>
      <c r="B81" s="126"/>
      <c r="C81" s="197" t="s">
        <v>83</v>
      </c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26"/>
      <c r="Q81" s="124"/>
      <c r="R81" s="103"/>
    </row>
    <row r="82" spans="1:18" ht="15.9" customHeight="1">
      <c r="A82" s="141"/>
      <c r="B82" s="126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26"/>
      <c r="Q82" s="124"/>
      <c r="R82" s="103"/>
    </row>
    <row r="83" spans="1:18" ht="15.9" customHeight="1">
      <c r="A83" s="141"/>
      <c r="B83" s="126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26"/>
      <c r="Q83" s="124"/>
      <c r="R83" s="103"/>
    </row>
    <row r="84" spans="1:18" ht="15.9" customHeight="1">
      <c r="A84" s="141"/>
      <c r="B84" s="126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26"/>
      <c r="Q84" s="124"/>
      <c r="R84" s="103"/>
    </row>
    <row r="85" spans="1:18" ht="15.9" customHeight="1">
      <c r="A85" s="141"/>
      <c r="B85" s="126"/>
      <c r="C85" s="194" t="s">
        <v>80</v>
      </c>
      <c r="D85" s="194"/>
      <c r="E85" s="195" t="s">
        <v>81</v>
      </c>
      <c r="F85" s="195"/>
      <c r="G85" s="195"/>
      <c r="H85" s="127"/>
      <c r="I85" s="128"/>
      <c r="J85" s="128"/>
      <c r="K85" s="128"/>
      <c r="L85" s="128"/>
      <c r="M85" s="128"/>
      <c r="N85" s="128"/>
      <c r="O85" s="128"/>
      <c r="P85" s="126"/>
      <c r="Q85" s="124"/>
      <c r="R85" s="103"/>
    </row>
    <row r="86" spans="1:18" ht="15.9" customHeight="1">
      <c r="A86" s="141"/>
      <c r="B86" s="126"/>
      <c r="C86" s="194"/>
      <c r="D86" s="194"/>
      <c r="E86" s="196"/>
      <c r="F86" s="196"/>
      <c r="G86" s="196"/>
      <c r="H86" s="127"/>
      <c r="I86" s="128"/>
      <c r="J86" s="128"/>
      <c r="K86" s="128"/>
      <c r="L86" s="128"/>
      <c r="M86" s="128"/>
      <c r="N86" s="128"/>
      <c r="O86" s="128"/>
      <c r="P86" s="126"/>
      <c r="Q86" s="124"/>
      <c r="R86" s="103"/>
    </row>
    <row r="87" spans="1:18" ht="15.9" customHeight="1">
      <c r="A87" s="141"/>
      <c r="B87" s="126"/>
      <c r="C87" s="194"/>
      <c r="D87" s="194"/>
      <c r="E87" s="195" t="s">
        <v>82</v>
      </c>
      <c r="F87" s="195"/>
      <c r="G87" s="195"/>
      <c r="H87" s="127"/>
      <c r="I87" s="128"/>
      <c r="J87" s="128"/>
      <c r="K87" s="128"/>
      <c r="L87" s="128"/>
      <c r="M87" s="128"/>
      <c r="N87" s="128"/>
      <c r="O87" s="128"/>
      <c r="P87" s="126"/>
      <c r="Q87" s="124"/>
      <c r="R87" s="103"/>
    </row>
    <row r="88" spans="1:18" ht="15.9" customHeight="1">
      <c r="A88" s="141"/>
      <c r="B88" s="126"/>
      <c r="C88" s="194"/>
      <c r="D88" s="194"/>
      <c r="E88" s="195"/>
      <c r="F88" s="195"/>
      <c r="G88" s="195"/>
      <c r="H88" s="127"/>
      <c r="I88" s="128"/>
      <c r="J88" s="128"/>
      <c r="K88" s="128"/>
      <c r="L88" s="128"/>
      <c r="M88" s="128"/>
      <c r="N88" s="128"/>
      <c r="O88" s="128"/>
      <c r="P88" s="126"/>
      <c r="Q88" s="124"/>
      <c r="R88" s="103"/>
    </row>
    <row r="89" spans="1:18" ht="15.9" customHeight="1">
      <c r="A89" s="141"/>
      <c r="B89" s="126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26"/>
      <c r="Q89" s="124"/>
      <c r="R89" s="103"/>
    </row>
    <row r="90" spans="1:18" ht="15.9" customHeight="1">
      <c r="A90" s="141"/>
      <c r="B90" s="126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26"/>
      <c r="Q90" s="124"/>
      <c r="R90" s="103"/>
    </row>
    <row r="91" spans="1:18" ht="15.9" customHeight="1">
      <c r="A91" s="141"/>
      <c r="B91" s="126"/>
      <c r="C91" s="190" t="s">
        <v>85</v>
      </c>
      <c r="D91" s="190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6"/>
      <c r="Q91" s="124"/>
      <c r="R91" s="103"/>
    </row>
    <row r="92" spans="1:18" ht="15.9" customHeight="1">
      <c r="A92" s="141"/>
      <c r="B92" s="126"/>
      <c r="C92" s="190"/>
      <c r="D92" s="190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6"/>
      <c r="Q92" s="124"/>
    </row>
    <row r="93" spans="1:18" ht="15.9" customHeight="1">
      <c r="A93" s="141"/>
      <c r="B93" s="126"/>
      <c r="C93" s="192" t="s">
        <v>84</v>
      </c>
      <c r="D93" s="192"/>
      <c r="E93" s="191" t="s">
        <v>86</v>
      </c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26"/>
      <c r="Q93" s="124"/>
    </row>
    <row r="94" spans="1:18" ht="15.9" customHeight="1">
      <c r="A94" s="141"/>
      <c r="B94" s="126"/>
      <c r="C94" s="192"/>
      <c r="D94" s="192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26"/>
      <c r="Q94" s="124"/>
    </row>
    <row r="95" spans="1:18" ht="15.9" customHeight="1">
      <c r="A95" s="141"/>
      <c r="B95" s="126"/>
      <c r="C95" s="192" t="s">
        <v>87</v>
      </c>
      <c r="D95" s="192"/>
      <c r="E95" s="191" t="s">
        <v>88</v>
      </c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26"/>
      <c r="Q95" s="124"/>
    </row>
    <row r="96" spans="1:18" ht="15.9" customHeight="1">
      <c r="A96" s="141"/>
      <c r="B96" s="126"/>
      <c r="C96" s="192"/>
      <c r="D96" s="192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26"/>
      <c r="Q96" s="124"/>
    </row>
    <row r="97" spans="1:17" ht="15.9" customHeight="1">
      <c r="A97" s="141"/>
      <c r="B97" s="126"/>
      <c r="C97" s="192" t="s">
        <v>114</v>
      </c>
      <c r="D97" s="192"/>
      <c r="E97" s="191" t="s">
        <v>89</v>
      </c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26"/>
      <c r="Q97" s="124"/>
    </row>
    <row r="98" spans="1:17" ht="15.9" customHeight="1">
      <c r="A98" s="141"/>
      <c r="B98" s="126"/>
      <c r="C98" s="192"/>
      <c r="D98" s="192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26"/>
      <c r="Q98" s="124"/>
    </row>
    <row r="99" spans="1:17" ht="15.9" customHeight="1">
      <c r="A99" s="141"/>
      <c r="B99" s="126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6"/>
      <c r="Q99" s="124"/>
    </row>
    <row r="100" spans="1:17" ht="15.9" customHeight="1">
      <c r="A100" s="141"/>
      <c r="B100" s="126"/>
      <c r="C100" s="125"/>
      <c r="D100" s="125"/>
      <c r="E100" s="125"/>
      <c r="F100" s="125"/>
      <c r="G100" s="125"/>
      <c r="H100" s="129"/>
      <c r="I100" s="125"/>
      <c r="J100" s="125"/>
      <c r="K100" s="125"/>
      <c r="L100" s="125"/>
      <c r="M100" s="125"/>
      <c r="N100" s="125"/>
      <c r="O100" s="125"/>
      <c r="P100" s="126"/>
      <c r="Q100" s="124"/>
    </row>
    <row r="101" spans="1:17" ht="15.9" customHeight="1">
      <c r="A101" s="141"/>
      <c r="B101" s="126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6"/>
      <c r="Q101" s="124"/>
    </row>
    <row r="102" spans="1:17" ht="15.9" customHeight="1">
      <c r="A102" s="141"/>
      <c r="B102" s="126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6"/>
      <c r="Q102" s="124"/>
    </row>
    <row r="103" spans="1:17" ht="15.9" customHeight="1">
      <c r="A103" s="141"/>
      <c r="B103" s="126"/>
      <c r="C103" s="188" t="s">
        <v>90</v>
      </c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26"/>
      <c r="Q103" s="124"/>
    </row>
    <row r="104" spans="1:17" ht="15.9" customHeight="1">
      <c r="A104" s="141"/>
      <c r="B104" s="126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26"/>
      <c r="Q104" s="124"/>
    </row>
    <row r="105" spans="1:17" ht="15.9" customHeight="1">
      <c r="A105" s="141"/>
      <c r="B105" s="126"/>
      <c r="C105" s="190" t="s">
        <v>14</v>
      </c>
      <c r="D105" s="190"/>
      <c r="E105" s="191" t="s">
        <v>91</v>
      </c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26"/>
      <c r="Q105" s="124"/>
    </row>
    <row r="106" spans="1:17" ht="15.9" customHeight="1">
      <c r="A106" s="141"/>
      <c r="B106" s="126"/>
      <c r="C106" s="190"/>
      <c r="D106" s="190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26"/>
      <c r="Q106" s="124"/>
    </row>
    <row r="107" spans="1:17" ht="15.9" customHeight="1">
      <c r="A107" s="141"/>
      <c r="B107" s="126"/>
      <c r="C107" s="190" t="s">
        <v>14</v>
      </c>
      <c r="D107" s="190"/>
      <c r="E107" s="191" t="s">
        <v>95</v>
      </c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26"/>
      <c r="Q107" s="124"/>
    </row>
    <row r="108" spans="1:17" ht="15.9" customHeight="1">
      <c r="A108" s="141"/>
      <c r="B108" s="126"/>
      <c r="C108" s="190"/>
      <c r="D108" s="190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26"/>
      <c r="Q108" s="124"/>
    </row>
    <row r="109" spans="1:17" ht="15.9" customHeight="1">
      <c r="A109" s="141"/>
      <c r="B109" s="126"/>
      <c r="C109" s="190" t="s">
        <v>14</v>
      </c>
      <c r="D109" s="190"/>
      <c r="E109" s="191" t="s">
        <v>92</v>
      </c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26"/>
      <c r="Q109" s="124"/>
    </row>
    <row r="110" spans="1:17" ht="15.9" customHeight="1">
      <c r="A110" s="141"/>
      <c r="B110" s="126"/>
      <c r="C110" s="190"/>
      <c r="D110" s="190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26"/>
      <c r="Q110" s="124"/>
    </row>
    <row r="111" spans="1:17" ht="15.9" customHeight="1">
      <c r="A111" s="141"/>
      <c r="B111" s="126"/>
      <c r="C111" s="126"/>
      <c r="D111" s="126"/>
      <c r="E111" s="191" t="s">
        <v>93</v>
      </c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26"/>
      <c r="Q111" s="124"/>
    </row>
    <row r="112" spans="1:17" ht="15.9" customHeight="1">
      <c r="A112" s="141"/>
      <c r="B112" s="126"/>
      <c r="C112" s="126"/>
      <c r="D112" s="126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26"/>
      <c r="Q112" s="124"/>
    </row>
    <row r="113" spans="1:17" ht="15.9" customHeight="1">
      <c r="A113" s="141"/>
      <c r="B113" s="126"/>
      <c r="C113" s="126"/>
      <c r="D113" s="126"/>
      <c r="E113" s="191" t="s">
        <v>94</v>
      </c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26"/>
      <c r="Q113" s="124"/>
    </row>
    <row r="114" spans="1:17" ht="15.9" customHeight="1">
      <c r="A114" s="141"/>
      <c r="B114" s="126"/>
      <c r="C114" s="126"/>
      <c r="D114" s="126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26"/>
      <c r="Q114" s="124"/>
    </row>
    <row r="115" spans="1:17" ht="15.9" customHeight="1">
      <c r="A115" s="141"/>
      <c r="B115" s="126"/>
      <c r="C115" s="126"/>
      <c r="D115" s="126"/>
      <c r="E115" s="191" t="s">
        <v>96</v>
      </c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26"/>
      <c r="Q115" s="124"/>
    </row>
    <row r="116" spans="1:17" ht="15.9" customHeight="1">
      <c r="A116" s="141"/>
      <c r="B116" s="126"/>
      <c r="C116" s="126"/>
      <c r="D116" s="126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26"/>
      <c r="Q116" s="124"/>
    </row>
    <row r="117" spans="1:17" ht="15.9" customHeight="1">
      <c r="A117" s="141"/>
      <c r="B117" s="126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6"/>
      <c r="Q117" s="124"/>
    </row>
    <row r="118" spans="1:17" ht="15.9" customHeight="1">
      <c r="A118" s="141"/>
      <c r="B118" s="126"/>
      <c r="C118" s="190" t="s">
        <v>14</v>
      </c>
      <c r="D118" s="190"/>
      <c r="E118" s="191" t="s">
        <v>97</v>
      </c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26"/>
      <c r="Q118" s="124"/>
    </row>
    <row r="119" spans="1:17" ht="15.9" customHeight="1">
      <c r="A119" s="141"/>
      <c r="B119" s="126"/>
      <c r="C119" s="190"/>
      <c r="D119" s="190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26"/>
      <c r="Q119" s="124"/>
    </row>
    <row r="120" spans="1:17" ht="15.9" customHeight="1">
      <c r="A120" s="141"/>
      <c r="B120" s="126"/>
      <c r="C120" s="190"/>
      <c r="D120" s="190"/>
      <c r="E120" s="189" t="s">
        <v>98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26"/>
      <c r="Q120" s="124"/>
    </row>
    <row r="121" spans="1:17" ht="15.9" customHeight="1">
      <c r="A121" s="141"/>
      <c r="B121" s="126"/>
      <c r="C121" s="190"/>
      <c r="D121" s="190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26"/>
      <c r="Q121" s="124"/>
    </row>
    <row r="122" spans="1:17" ht="15.9" customHeight="1">
      <c r="A122" s="141"/>
      <c r="B122" s="126"/>
      <c r="C122" s="190"/>
      <c r="D122" s="190"/>
      <c r="E122" s="189" t="s">
        <v>99</v>
      </c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26"/>
      <c r="Q122" s="124"/>
    </row>
    <row r="123" spans="1:17" ht="15.9" customHeight="1">
      <c r="A123" s="141"/>
      <c r="B123" s="126"/>
      <c r="C123" s="190"/>
      <c r="D123" s="190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26"/>
      <c r="Q123" s="124"/>
    </row>
    <row r="124" spans="1:17" ht="15.9" customHeight="1">
      <c r="A124" s="141"/>
      <c r="B124" s="125"/>
      <c r="C124" s="190" t="s">
        <v>14</v>
      </c>
      <c r="D124" s="190"/>
      <c r="E124" s="191" t="s">
        <v>100</v>
      </c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25"/>
      <c r="Q124" s="124"/>
    </row>
    <row r="125" spans="1:17" ht="15.9" customHeight="1">
      <c r="A125" s="141"/>
      <c r="B125" s="125"/>
      <c r="C125" s="190"/>
      <c r="D125" s="190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25"/>
      <c r="Q125" s="124"/>
    </row>
    <row r="126" spans="1:17" ht="15.9" customHeight="1">
      <c r="A126" s="141"/>
      <c r="B126" s="125"/>
      <c r="C126" s="190"/>
      <c r="D126" s="190"/>
      <c r="E126" s="189" t="s">
        <v>101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25"/>
      <c r="Q126" s="124"/>
    </row>
    <row r="127" spans="1:17" ht="15.9" customHeight="1">
      <c r="A127" s="141"/>
      <c r="B127" s="125"/>
      <c r="C127" s="190"/>
      <c r="D127" s="190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25"/>
      <c r="Q127" s="124"/>
    </row>
    <row r="128" spans="1:17" ht="15.9" customHeight="1">
      <c r="A128" s="141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4"/>
    </row>
    <row r="129" spans="1:17" ht="15.9" customHeight="1">
      <c r="A129" s="141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4"/>
    </row>
    <row r="130" spans="1:17" ht="15.9" customHeight="1">
      <c r="A130" s="142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4"/>
    </row>
    <row r="131" spans="1:17" ht="15.9" customHeight="1">
      <c r="A131" s="142"/>
      <c r="B131" s="125"/>
      <c r="C131" s="188" t="s">
        <v>102</v>
      </c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25"/>
      <c r="Q131" s="124"/>
    </row>
    <row r="132" spans="1:17" ht="15.9" customHeight="1">
      <c r="A132" s="142"/>
      <c r="B132" s="125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25"/>
      <c r="Q132" s="124"/>
    </row>
    <row r="133" spans="1:17" ht="15.9" customHeight="1">
      <c r="A133" s="142"/>
      <c r="B133" s="125"/>
      <c r="C133" s="188" t="s">
        <v>103</v>
      </c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25"/>
      <c r="Q133" s="124"/>
    </row>
    <row r="134" spans="1:17" ht="15.9" customHeight="1">
      <c r="A134" s="142"/>
      <c r="B134" s="125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25"/>
      <c r="Q134" s="124"/>
    </row>
    <row r="135" spans="1:17" ht="15.9" customHeight="1">
      <c r="A135" s="142"/>
      <c r="B135" s="125"/>
      <c r="C135" s="188" t="s">
        <v>104</v>
      </c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25"/>
      <c r="Q135" s="124"/>
    </row>
    <row r="136" spans="1:17" ht="15.9" customHeight="1">
      <c r="A136" s="142"/>
      <c r="B136" s="125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25"/>
      <c r="Q136" s="124"/>
    </row>
    <row r="137" spans="1:17" ht="15.9" customHeight="1">
      <c r="A137" s="142"/>
      <c r="B137" s="12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25"/>
      <c r="Q137" s="124"/>
    </row>
    <row r="138" spans="1:17" ht="15.9" customHeight="1">
      <c r="A138" s="142"/>
      <c r="B138" s="125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25"/>
      <c r="Q138" s="124"/>
    </row>
    <row r="139" spans="1:17" ht="15.9" customHeight="1">
      <c r="A139" s="142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4"/>
    </row>
    <row r="140" spans="1:17" ht="15.9" customHeight="1">
      <c r="A140" s="142"/>
      <c r="B140" s="125"/>
      <c r="C140" s="187" t="s">
        <v>106</v>
      </c>
      <c r="D140" s="187"/>
      <c r="E140" s="187"/>
      <c r="F140" s="187"/>
      <c r="G140" s="187"/>
      <c r="H140" s="187"/>
      <c r="I140" s="187"/>
      <c r="J140" s="187"/>
      <c r="K140" s="186" t="s">
        <v>111</v>
      </c>
      <c r="L140" s="186"/>
      <c r="M140" s="186"/>
      <c r="N140" s="186"/>
      <c r="O140" s="186"/>
      <c r="P140" s="125"/>
      <c r="Q140" s="124"/>
    </row>
    <row r="141" spans="1:17" ht="15.9" customHeight="1">
      <c r="A141" s="142"/>
      <c r="B141" s="125"/>
      <c r="C141" s="187"/>
      <c r="D141" s="187"/>
      <c r="E141" s="187"/>
      <c r="F141" s="187"/>
      <c r="G141" s="187"/>
      <c r="H141" s="187"/>
      <c r="I141" s="187"/>
      <c r="J141" s="187"/>
      <c r="K141" s="186"/>
      <c r="L141" s="186"/>
      <c r="M141" s="186"/>
      <c r="N141" s="186"/>
      <c r="O141" s="186"/>
      <c r="P141" s="125"/>
      <c r="Q141" s="124"/>
    </row>
    <row r="142" spans="1:17" ht="15.9" customHeight="1">
      <c r="A142" s="142"/>
      <c r="B142" s="125"/>
      <c r="C142" s="187" t="s">
        <v>107</v>
      </c>
      <c r="D142" s="187"/>
      <c r="E142" s="187"/>
      <c r="F142" s="187"/>
      <c r="G142" s="187"/>
      <c r="H142" s="187"/>
      <c r="I142" s="187"/>
      <c r="J142" s="187"/>
      <c r="K142" s="186" t="s">
        <v>112</v>
      </c>
      <c r="L142" s="186"/>
      <c r="M142" s="186"/>
      <c r="N142" s="186"/>
      <c r="O142" s="186"/>
      <c r="P142" s="125"/>
      <c r="Q142" s="124"/>
    </row>
    <row r="143" spans="1:17" ht="15.9" customHeight="1">
      <c r="A143" s="142"/>
      <c r="B143" s="125"/>
      <c r="C143" s="187"/>
      <c r="D143" s="187"/>
      <c r="E143" s="187"/>
      <c r="F143" s="187"/>
      <c r="G143" s="187"/>
      <c r="H143" s="187"/>
      <c r="I143" s="187"/>
      <c r="J143" s="187"/>
      <c r="K143" s="186"/>
      <c r="L143" s="186"/>
      <c r="M143" s="186"/>
      <c r="N143" s="186"/>
      <c r="O143" s="186"/>
      <c r="P143" s="125"/>
      <c r="Q143" s="124"/>
    </row>
    <row r="144" spans="1:17" ht="15.9" customHeight="1">
      <c r="A144" s="142"/>
      <c r="B144" s="125"/>
      <c r="C144" s="187" t="s">
        <v>108</v>
      </c>
      <c r="D144" s="187"/>
      <c r="E144" s="187"/>
      <c r="F144" s="187"/>
      <c r="G144" s="187"/>
      <c r="H144" s="187"/>
      <c r="I144" s="187"/>
      <c r="J144" s="187"/>
      <c r="K144" s="186" t="s">
        <v>112</v>
      </c>
      <c r="L144" s="186"/>
      <c r="M144" s="186"/>
      <c r="N144" s="186"/>
      <c r="O144" s="186"/>
      <c r="P144" s="125"/>
      <c r="Q144" s="124"/>
    </row>
    <row r="145" spans="1:17" ht="15.9" customHeight="1">
      <c r="A145" s="142"/>
      <c r="B145" s="125"/>
      <c r="C145" s="187"/>
      <c r="D145" s="187"/>
      <c r="E145" s="187"/>
      <c r="F145" s="187"/>
      <c r="G145" s="187"/>
      <c r="H145" s="187"/>
      <c r="I145" s="187"/>
      <c r="J145" s="187"/>
      <c r="K145" s="186"/>
      <c r="L145" s="186"/>
      <c r="M145" s="186"/>
      <c r="N145" s="186"/>
      <c r="O145" s="186"/>
      <c r="P145" s="125"/>
      <c r="Q145" s="124"/>
    </row>
    <row r="146" spans="1:17" ht="15.9" customHeight="1">
      <c r="A146" s="142"/>
      <c r="B146" s="125"/>
      <c r="C146" s="187" t="s">
        <v>109</v>
      </c>
      <c r="D146" s="187"/>
      <c r="E146" s="187"/>
      <c r="F146" s="187"/>
      <c r="G146" s="187"/>
      <c r="H146" s="187"/>
      <c r="I146" s="187"/>
      <c r="J146" s="187"/>
      <c r="K146" s="186" t="s">
        <v>112</v>
      </c>
      <c r="L146" s="186"/>
      <c r="M146" s="186"/>
      <c r="N146" s="186"/>
      <c r="O146" s="186"/>
      <c r="P146" s="125"/>
      <c r="Q146" s="124"/>
    </row>
    <row r="147" spans="1:17" ht="15.9" customHeight="1">
      <c r="A147" s="142"/>
      <c r="B147" s="125"/>
      <c r="C147" s="187"/>
      <c r="D147" s="187"/>
      <c r="E147" s="187"/>
      <c r="F147" s="187"/>
      <c r="G147" s="187"/>
      <c r="H147" s="187"/>
      <c r="I147" s="187"/>
      <c r="J147" s="187"/>
      <c r="K147" s="186"/>
      <c r="L147" s="186"/>
      <c r="M147" s="186"/>
      <c r="N147" s="186"/>
      <c r="O147" s="186"/>
      <c r="P147" s="125"/>
      <c r="Q147" s="124"/>
    </row>
    <row r="148" spans="1:17" ht="15.9" customHeight="1">
      <c r="A148" s="142"/>
      <c r="B148" s="125"/>
      <c r="C148" s="187" t="s">
        <v>110</v>
      </c>
      <c r="D148" s="187"/>
      <c r="E148" s="187"/>
      <c r="F148" s="187"/>
      <c r="G148" s="187"/>
      <c r="H148" s="187"/>
      <c r="I148" s="187"/>
      <c r="J148" s="187"/>
      <c r="K148" s="186" t="s">
        <v>113</v>
      </c>
      <c r="L148" s="186"/>
      <c r="M148" s="186"/>
      <c r="N148" s="186"/>
      <c r="O148" s="186"/>
      <c r="P148" s="125"/>
      <c r="Q148" s="124"/>
    </row>
    <row r="149" spans="1:17" ht="15.9" customHeight="1">
      <c r="A149" s="142"/>
      <c r="B149" s="125"/>
      <c r="C149" s="187"/>
      <c r="D149" s="187"/>
      <c r="E149" s="187"/>
      <c r="F149" s="187"/>
      <c r="G149" s="187"/>
      <c r="H149" s="187"/>
      <c r="I149" s="187"/>
      <c r="J149" s="187"/>
      <c r="K149" s="186"/>
      <c r="L149" s="186"/>
      <c r="M149" s="186"/>
      <c r="N149" s="186"/>
      <c r="O149" s="186"/>
      <c r="P149" s="125"/>
      <c r="Q149" s="124"/>
    </row>
    <row r="150" spans="1:17" ht="15.9" customHeight="1">
      <c r="A150" s="142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4"/>
    </row>
    <row r="151" spans="1:17" ht="15.9" customHeight="1">
      <c r="A151" s="142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4"/>
    </row>
    <row r="152" spans="1:17" ht="15.9" customHeight="1">
      <c r="A152" s="142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4"/>
    </row>
    <row r="153" spans="1:17" ht="15.9" customHeight="1">
      <c r="A153" s="142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4"/>
    </row>
    <row r="154" spans="1:17" ht="15.9" customHeight="1">
      <c r="A154" s="142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4"/>
    </row>
    <row r="155" spans="1:17" ht="15.9" customHeight="1">
      <c r="A155" s="14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44"/>
    </row>
    <row r="156" spans="1:17" ht="15.9" customHeight="1">
      <c r="A156"/>
    </row>
    <row r="157" spans="1:17" ht="15.9" customHeight="1">
      <c r="A157"/>
    </row>
    <row r="158" spans="1:17" ht="15.9" customHeight="1">
      <c r="A158"/>
    </row>
    <row r="159" spans="1:17" ht="15.9" customHeight="1">
      <c r="A159"/>
    </row>
    <row r="160" spans="1:17" ht="15.9" customHeight="1">
      <c r="A160"/>
    </row>
    <row r="161" spans="1:1" ht="15.9" customHeight="1">
      <c r="A161"/>
    </row>
    <row r="162" spans="1:1" ht="15.9" customHeight="1">
      <c r="A162"/>
    </row>
    <row r="163" spans="1:1" ht="15.9" customHeight="1">
      <c r="A163"/>
    </row>
    <row r="164" spans="1:1" ht="15.9" customHeight="1">
      <c r="A164"/>
    </row>
    <row r="165" spans="1:1" ht="15.9" customHeight="1">
      <c r="A165"/>
    </row>
    <row r="166" spans="1:1" ht="15.9" customHeight="1">
      <c r="A166"/>
    </row>
    <row r="167" spans="1:1" ht="15.9" customHeight="1">
      <c r="A167"/>
    </row>
    <row r="168" spans="1:1" ht="15.9" customHeight="1">
      <c r="A168"/>
    </row>
    <row r="169" spans="1:1" ht="15.9" customHeight="1">
      <c r="A169"/>
    </row>
    <row r="170" spans="1:1" ht="15.9" customHeight="1">
      <c r="A170"/>
    </row>
    <row r="171" spans="1:1" ht="15.9" customHeight="1">
      <c r="A171"/>
    </row>
    <row r="172" spans="1:1" ht="15.9" customHeight="1">
      <c r="A172"/>
    </row>
    <row r="173" spans="1:1" ht="15.9" customHeight="1">
      <c r="A173"/>
    </row>
    <row r="174" spans="1:1" ht="15.9" customHeight="1">
      <c r="A174"/>
    </row>
    <row r="175" spans="1:1" ht="15.9" customHeight="1">
      <c r="A175"/>
    </row>
    <row r="176" spans="1:1" ht="15.9" customHeight="1">
      <c r="A176"/>
    </row>
    <row r="177" spans="1:1" ht="15.9" customHeight="1">
      <c r="A177"/>
    </row>
    <row r="178" spans="1:1" ht="15.9" customHeight="1">
      <c r="A178"/>
    </row>
    <row r="179" spans="1:1" ht="15.9" customHeight="1">
      <c r="A179"/>
    </row>
    <row r="180" spans="1:1" ht="15.9" customHeight="1">
      <c r="A180"/>
    </row>
    <row r="181" spans="1:1" ht="15.9" customHeight="1">
      <c r="A181"/>
    </row>
    <row r="182" spans="1:1" ht="15.9" customHeight="1">
      <c r="A182"/>
    </row>
    <row r="183" spans="1:1" ht="15.9" customHeight="1">
      <c r="A183"/>
    </row>
    <row r="184" spans="1:1" ht="15.9" customHeight="1">
      <c r="A184"/>
    </row>
    <row r="185" spans="1:1" ht="15.9" customHeight="1">
      <c r="A185"/>
    </row>
    <row r="186" spans="1:1" ht="15.9" customHeight="1">
      <c r="A186"/>
    </row>
    <row r="187" spans="1:1" ht="15.9" customHeight="1">
      <c r="A187"/>
    </row>
    <row r="188" spans="1:1" ht="15.9" customHeight="1">
      <c r="A188"/>
    </row>
    <row r="189" spans="1:1" ht="15.9" customHeight="1">
      <c r="A189"/>
    </row>
    <row r="190" spans="1:1" ht="15.9" customHeight="1">
      <c r="A190"/>
    </row>
    <row r="191" spans="1:1" ht="15.9" customHeight="1">
      <c r="A191"/>
    </row>
    <row r="192" spans="1:1" ht="15.9" customHeight="1">
      <c r="A192"/>
    </row>
    <row r="193" spans="1:1" ht="15.9" customHeight="1">
      <c r="A193"/>
    </row>
    <row r="194" spans="1:1" ht="15.9" customHeight="1">
      <c r="A194"/>
    </row>
    <row r="195" spans="1:1" ht="15.9" customHeight="1">
      <c r="A195"/>
    </row>
    <row r="196" spans="1:1" ht="15.9" customHeight="1">
      <c r="A196"/>
    </row>
    <row r="197" spans="1:1" ht="15.9" customHeight="1">
      <c r="A197"/>
    </row>
    <row r="198" spans="1:1" ht="15.9" customHeight="1">
      <c r="A198"/>
    </row>
    <row r="199" spans="1:1" ht="15.9" customHeight="1">
      <c r="A199"/>
    </row>
    <row r="200" spans="1:1" ht="15.9" customHeight="1">
      <c r="A200"/>
    </row>
    <row r="201" spans="1:1" ht="15.9" customHeight="1">
      <c r="A201"/>
    </row>
    <row r="202" spans="1:1" ht="15.9" customHeight="1">
      <c r="A202"/>
    </row>
    <row r="203" spans="1:1" ht="15.9" customHeight="1">
      <c r="A203"/>
    </row>
    <row r="204" spans="1:1" ht="15.9" customHeight="1">
      <c r="A204"/>
    </row>
    <row r="205" spans="1:1" ht="15.9" customHeight="1">
      <c r="A205"/>
    </row>
    <row r="206" spans="1:1" ht="15.9" customHeight="1">
      <c r="A206"/>
    </row>
    <row r="207" spans="1:1" ht="15.9" customHeight="1">
      <c r="A207"/>
    </row>
    <row r="208" spans="1:1" ht="15.9" customHeight="1">
      <c r="A208"/>
    </row>
    <row r="209" spans="1:1" ht="15.9" customHeight="1">
      <c r="A209"/>
    </row>
    <row r="210" spans="1:1" ht="15.9" customHeight="1">
      <c r="A210"/>
    </row>
    <row r="211" spans="1:1" ht="15.9" customHeight="1">
      <c r="A211"/>
    </row>
    <row r="212" spans="1:1" ht="15.9" customHeight="1">
      <c r="A212"/>
    </row>
    <row r="213" spans="1:1" ht="15.9" customHeight="1">
      <c r="A213"/>
    </row>
    <row r="214" spans="1:1" ht="15.9" customHeight="1">
      <c r="A214"/>
    </row>
    <row r="215" spans="1:1" ht="15.9" customHeight="1">
      <c r="A215"/>
    </row>
    <row r="216" spans="1:1" ht="15.9" customHeight="1">
      <c r="A216"/>
    </row>
    <row r="217" spans="1:1" ht="15.9" customHeight="1">
      <c r="A217"/>
    </row>
    <row r="218" spans="1:1" ht="15.9" customHeight="1">
      <c r="A218"/>
    </row>
    <row r="219" spans="1:1" ht="15.9" customHeight="1">
      <c r="A219"/>
    </row>
    <row r="220" spans="1:1" ht="15.9" customHeight="1">
      <c r="A220"/>
    </row>
    <row r="221" spans="1:1" ht="15.9" customHeight="1">
      <c r="A221"/>
    </row>
    <row r="222" spans="1:1" ht="15.9" customHeight="1">
      <c r="A222"/>
    </row>
    <row r="223" spans="1:1" ht="15.9" customHeight="1">
      <c r="A223"/>
    </row>
    <row r="224" spans="1:1" ht="15.9" customHeight="1">
      <c r="A224"/>
    </row>
    <row r="225" spans="1:1" ht="15.9" customHeight="1">
      <c r="A225"/>
    </row>
    <row r="226" spans="1:1" ht="15.9" customHeight="1">
      <c r="A226"/>
    </row>
    <row r="227" spans="1:1" ht="15.9" customHeight="1">
      <c r="A227"/>
    </row>
    <row r="228" spans="1:1" ht="15.9" customHeight="1">
      <c r="A228"/>
    </row>
    <row r="229" spans="1:1" ht="15.9" customHeight="1">
      <c r="A229"/>
    </row>
    <row r="230" spans="1:1" ht="15.9" customHeight="1">
      <c r="A230"/>
    </row>
    <row r="231" spans="1:1" ht="15.9" customHeight="1">
      <c r="A231"/>
    </row>
    <row r="232" spans="1:1" ht="15.9" customHeight="1">
      <c r="A232"/>
    </row>
    <row r="233" spans="1:1" ht="15.9" customHeight="1">
      <c r="A233"/>
    </row>
    <row r="234" spans="1:1" ht="15.9" customHeight="1">
      <c r="A234"/>
    </row>
    <row r="235" spans="1:1" ht="15.9" customHeight="1">
      <c r="A235"/>
    </row>
    <row r="236" spans="1:1" ht="15.9" customHeight="1">
      <c r="A236"/>
    </row>
    <row r="237" spans="1:1" ht="15.9" customHeight="1">
      <c r="A237"/>
    </row>
  </sheetData>
  <sheetProtection algorithmName="SHA-512" hashValue="3qYP/YMvXi6rCLObZ6wdRwK13WQP71BsM9NmsyTQssggplLVIdpNgileVcsJEEFd7DzKNNWxf/BBogsSP5+CXw==" saltValue="erFw7WZk9/udqfXCIeWBDA==" spinCount="100000" sheet="1" objects="1" scenarios="1" selectLockedCells="1" selectUnlockedCells="1"/>
  <mergeCells count="66">
    <mergeCell ref="E87:G88"/>
    <mergeCell ref="C81:O82"/>
    <mergeCell ref="C83:O84"/>
    <mergeCell ref="C36:O37"/>
    <mergeCell ref="C38:O39"/>
    <mergeCell ref="C4:P5"/>
    <mergeCell ref="C6:P7"/>
    <mergeCell ref="C10:P11"/>
    <mergeCell ref="C24:P25"/>
    <mergeCell ref="C26:P27"/>
    <mergeCell ref="C8:O9"/>
    <mergeCell ref="C15:H16"/>
    <mergeCell ref="I15:N16"/>
    <mergeCell ref="C18:H19"/>
    <mergeCell ref="C21:H22"/>
    <mergeCell ref="I18:N19"/>
    <mergeCell ref="C12:O13"/>
    <mergeCell ref="C91:D92"/>
    <mergeCell ref="C93:D94"/>
    <mergeCell ref="C89:O90"/>
    <mergeCell ref="C103:O104"/>
    <mergeCell ref="I21:N22"/>
    <mergeCell ref="C97:D98"/>
    <mergeCell ref="E93:O94"/>
    <mergeCell ref="E95:O96"/>
    <mergeCell ref="E97:O98"/>
    <mergeCell ref="C28:O29"/>
    <mergeCell ref="C30:O31"/>
    <mergeCell ref="C32:O33"/>
    <mergeCell ref="C34:O35"/>
    <mergeCell ref="C85:D88"/>
    <mergeCell ref="E85:G86"/>
    <mergeCell ref="C95:D96"/>
    <mergeCell ref="C105:D106"/>
    <mergeCell ref="E105:O106"/>
    <mergeCell ref="C107:D108"/>
    <mergeCell ref="E107:O108"/>
    <mergeCell ref="C124:D125"/>
    <mergeCell ref="E124:O125"/>
    <mergeCell ref="E113:O114"/>
    <mergeCell ref="E115:O116"/>
    <mergeCell ref="C118:D119"/>
    <mergeCell ref="E118:O119"/>
    <mergeCell ref="C109:D110"/>
    <mergeCell ref="E109:O110"/>
    <mergeCell ref="E111:O112"/>
    <mergeCell ref="E126:O127"/>
    <mergeCell ref="C126:D127"/>
    <mergeCell ref="C120:D121"/>
    <mergeCell ref="E120:O121"/>
    <mergeCell ref="C122:D123"/>
    <mergeCell ref="E122:O123"/>
    <mergeCell ref="C140:J141"/>
    <mergeCell ref="K140:O141"/>
    <mergeCell ref="C131:O132"/>
    <mergeCell ref="C133:O134"/>
    <mergeCell ref="C135:O136"/>
    <mergeCell ref="C137:O138"/>
    <mergeCell ref="K142:O143"/>
    <mergeCell ref="K144:O145"/>
    <mergeCell ref="K146:O147"/>
    <mergeCell ref="K148:O149"/>
    <mergeCell ref="C142:J143"/>
    <mergeCell ref="C144:J145"/>
    <mergeCell ref="C146:J147"/>
    <mergeCell ref="C148:J149"/>
  </mergeCells>
  <phoneticPr fontId="19" type="noConversion"/>
  <printOptions horizontalCentered="1" verticalCentered="1"/>
  <pageMargins left="0.78740157480314965" right="0.39370078740157483" top="0.59055118110236227" bottom="0.78740157480314965" header="0.51181102362204722" footer="0.51181102362204722"/>
  <pageSetup paperSize="9" scale="70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Fall 1</vt:lpstr>
      <vt:lpstr>Fall 2</vt:lpstr>
      <vt:lpstr>Beispiel</vt:lpstr>
      <vt:lpstr>Info</vt:lpstr>
      <vt:lpstr>Beispiel!Druckbereich</vt:lpstr>
      <vt:lpstr>'Fall 1'!Druckbereich</vt:lpstr>
      <vt:lpstr>'Fall 2'!Druckbereich</vt:lpstr>
      <vt:lpstr>Info!Druckbereich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U-Wert Temperaturverlauf Tauwasser Schimmel</dc:title>
  <dc:subject>Bauteile ohne Wärmebrücken Version 2.0</dc:subject>
  <dc:creator>© Hermann Obermeyer / Mainz</dc:creator>
  <dc:description>Ohne jede Gewähr!</dc:description>
  <cp:lastModifiedBy>Siegmund</cp:lastModifiedBy>
  <cp:lastPrinted>2015-02-03T09:14:17Z</cp:lastPrinted>
  <dcterms:created xsi:type="dcterms:W3CDTF">2002-03-25T10:34:29Z</dcterms:created>
  <dcterms:modified xsi:type="dcterms:W3CDTF">2017-02-10T16:23:24Z</dcterms:modified>
  <cp:category>Energie Aus- und Weiterbildung</cp:category>
</cp:coreProperties>
</file>